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5480" windowHeight="11640" firstSheet="1" activeTab="4"/>
  </bookViews>
  <sheets>
    <sheet name="Sheet3" sheetId="1" state="hidden" r:id="rId1"/>
    <sheet name="Introduction" sheetId="2" r:id="rId2"/>
    <sheet name="Meeting House" sheetId="3" r:id="rId3"/>
    <sheet name="Quaker House" sheetId="4" r:id="rId4"/>
    <sheet name="QH-MH Combined " sheetId="5" r:id="rId5"/>
  </sheets>
  <definedNames>
    <definedName name="_xlnm.Print_Titles" localSheetId="4">'QH-MH Combined '!$1:$1</definedName>
  </definedNames>
  <calcPr fullCalcOnLoad="1"/>
</workbook>
</file>

<file path=xl/sharedStrings.xml><?xml version="1.0" encoding="utf-8"?>
<sst xmlns="http://schemas.openxmlformats.org/spreadsheetml/2006/main" count="226" uniqueCount="171">
  <si>
    <t>YTD Actual as of 5/31/09</t>
  </si>
  <si>
    <t>Notes</t>
  </si>
  <si>
    <t xml:space="preserve">               Insurance</t>
  </si>
  <si>
    <t>Transfers/Depreciation</t>
  </si>
  <si>
    <t>Net Revenue/Loss</t>
  </si>
  <si>
    <t xml:space="preserve">               Building Mtc/Repair</t>
  </si>
  <si>
    <t>Revenue</t>
  </si>
  <si>
    <t xml:space="preserve">   Building Revenue</t>
  </si>
  <si>
    <t xml:space="preserve">      Regular Space Use</t>
  </si>
  <si>
    <t xml:space="preserve">      Occational Space Use</t>
  </si>
  <si>
    <t xml:space="preserve">         Total Building Revenue</t>
  </si>
  <si>
    <t xml:space="preserve">      Total Revenue</t>
  </si>
  <si>
    <t>Expense</t>
  </si>
  <si>
    <t xml:space="preserve">   Site Costs</t>
  </si>
  <si>
    <t xml:space="preserve">         Total Site Costs</t>
  </si>
  <si>
    <t xml:space="preserve">   Office Expenses</t>
  </si>
  <si>
    <t xml:space="preserve">         Total Office Expenses</t>
  </si>
  <si>
    <t xml:space="preserve">      Total Expense</t>
  </si>
  <si>
    <t>Revenue Less Expense</t>
  </si>
  <si>
    <t xml:space="preserve">               Ground Mtc</t>
  </si>
  <si>
    <t xml:space="preserve">     Post/Print/Supplies</t>
  </si>
  <si>
    <t>FY 09 Budget *</t>
  </si>
  <si>
    <t xml:space="preserve">   Restricted Revenue</t>
  </si>
  <si>
    <t xml:space="preserve">               Trash &amp; Custodial</t>
  </si>
  <si>
    <t>Mowing, raking, trimming, snow &amp; ice removal</t>
  </si>
  <si>
    <t xml:space="preserve">      Computer &amp; Equipment</t>
  </si>
  <si>
    <t xml:space="preserve"> FY10 Budget</t>
  </si>
  <si>
    <t xml:space="preserve"> </t>
  </si>
  <si>
    <t>Space</t>
  </si>
  <si>
    <t>Sq. Ft.</t>
  </si>
  <si>
    <t>Sub-Total</t>
  </si>
  <si>
    <t>Trash/ Recycling</t>
  </si>
  <si>
    <t>?</t>
  </si>
  <si>
    <t>Total Expenses</t>
  </si>
  <si>
    <t>Repair, improvement, and management costs will be subsidized through volunteer and in-kind support.</t>
  </si>
  <si>
    <t>FY10-11</t>
  </si>
  <si>
    <t>FY09-10</t>
  </si>
  <si>
    <t xml:space="preserve">QH #106 Entry Office </t>
  </si>
  <si>
    <t xml:space="preserve">QH #105-110 Incubator </t>
  </si>
  <si>
    <t>Annual</t>
  </si>
  <si>
    <t>Rate/sf</t>
  </si>
  <si>
    <t>Monthly</t>
  </si>
  <si>
    <t>Grounds</t>
  </si>
  <si>
    <t>Custodial</t>
  </si>
  <si>
    <t xml:space="preserve">Operating Expenses </t>
  </si>
  <si>
    <t xml:space="preserve">   QH Personnel/ Contract Costs</t>
  </si>
  <si>
    <t>Weekly service-- new contract?</t>
  </si>
  <si>
    <t>Operating Reserve</t>
  </si>
  <si>
    <t>Proposed FY11 Budget (Property Only)</t>
  </si>
  <si>
    <t>Property management, coordination, and hosting</t>
  </si>
  <si>
    <t>Both buildings (includes building monitoring)</t>
  </si>
  <si>
    <t>Equipment/software for space management</t>
  </si>
  <si>
    <t>Facilities Programming</t>
  </si>
  <si>
    <t>Omits all revenue not specifically tied to property</t>
  </si>
  <si>
    <t>Commercial Property portion only (2009 = est.)</t>
  </si>
  <si>
    <t xml:space="preserve">Change </t>
  </si>
  <si>
    <t>Inf.</t>
  </si>
  <si>
    <t>Proposed</t>
  </si>
  <si>
    <t xml:space="preserve">Net reserves will rise significantly in the out-years, as vacancy rate declines and rates and events rise. </t>
  </si>
  <si>
    <t>Reception/ Coordination</t>
  </si>
  <si>
    <t xml:space="preserve">Reimbursements </t>
  </si>
  <si>
    <t>Total Reimbursements</t>
  </si>
  <si>
    <t>Philanthropic Support</t>
  </si>
  <si>
    <t xml:space="preserve">Property Insurance </t>
  </si>
  <si>
    <t>Utility costs assume increases in energy efficiency coupled with increased use, rates, and service.</t>
  </si>
  <si>
    <t>Space use rates are based on comparable non-profit market levels for office, incubator, and childcare.</t>
  </si>
  <si>
    <t>CH 2nd Floor</t>
  </si>
  <si>
    <t>Flex space</t>
  </si>
  <si>
    <t>Framework &amp; Assumptions</t>
  </si>
  <si>
    <t>Youth/ child development -$25/sf</t>
  </si>
  <si>
    <t>Non-profit offices- $41/sf</t>
  </si>
  <si>
    <t>FMW should expand capacity, using non-competing operating support, to better manage this property.</t>
  </si>
  <si>
    <t>20% vacancy for repairs, transition, &amp; market</t>
  </si>
  <si>
    <t>Total Revenue</t>
  </si>
  <si>
    <t>Sub-Total Expenses</t>
  </si>
  <si>
    <r>
      <t xml:space="preserve">Proposed rates and expenses assume comprehensive non-staff management.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Rates will be lower if we invest less.</t>
    </r>
  </si>
  <si>
    <t xml:space="preserve">Built-in contingencies include 20% vacancy for transition, repair, and market variables, plus flex spaces.  </t>
  </si>
  <si>
    <t xml:space="preserve">CH 1st Floor </t>
  </si>
  <si>
    <t>Property reserve will help fund deferred space repairs and improvements to boost function and value.</t>
  </si>
  <si>
    <t>Half-time contract help: 80 hours/mo. @ $15</t>
  </si>
  <si>
    <t>Budget</t>
  </si>
  <si>
    <t>Prorated by percentage of total space</t>
  </si>
  <si>
    <t>Incubator - $48/sf west; $35/sf rear; $0/sf flex</t>
  </si>
  <si>
    <t>Program space - $16/sf</t>
  </si>
  <si>
    <t>Budget is designed to help cover carrying costs and boost property management, care, and programming.</t>
  </si>
  <si>
    <t>Rates are inclusive--  utilities, insurance, common areas, &amp; basic shared meeting space and equipment.</t>
  </si>
  <si>
    <t>QH #201 Living Room</t>
  </si>
  <si>
    <t>QH #204 Corner Rm</t>
  </si>
  <si>
    <t>QH #207 Committee</t>
  </si>
  <si>
    <t>QH #208 Storage</t>
  </si>
  <si>
    <t>QH #209 Fireplace</t>
  </si>
  <si>
    <t>(Vacancy/Contingency)</t>
  </si>
  <si>
    <t xml:space="preserve">Remote Monitoring </t>
  </si>
  <si>
    <t>Maint./Repair (non-cap.)</t>
  </si>
  <si>
    <t>Actual</t>
  </si>
  <si>
    <t>Current</t>
  </si>
  <si>
    <t>Recommended 2010-2011 FMW Property Budget-- Quaker House/ Carriage House</t>
  </si>
  <si>
    <t>Approved by FMW Property Committee 1-30-10</t>
  </si>
  <si>
    <t xml:space="preserve">      QHPhone/DSL</t>
  </si>
  <si>
    <t>Gas</t>
  </si>
  <si>
    <t>Electric</t>
  </si>
  <si>
    <t xml:space="preserve">               Gas</t>
  </si>
  <si>
    <t xml:space="preserve">               Electric</t>
  </si>
  <si>
    <t>Water &amp; Sewer</t>
  </si>
  <si>
    <t xml:space="preserve">               Water &amp; Sewer</t>
  </si>
  <si>
    <t>Energy efficient management (assumes QH system upgrade)</t>
  </si>
  <si>
    <t xml:space="preserve">Contract Management </t>
  </si>
  <si>
    <t>12% space revenue (excl. existing staff support)</t>
  </si>
  <si>
    <t>More efficient system (capital upgrade)</t>
  </si>
  <si>
    <t>Higher efficiency, use, and rate</t>
  </si>
  <si>
    <t>Incubator - $55/sf</t>
  </si>
  <si>
    <t>Depreciation</t>
  </si>
  <si>
    <t xml:space="preserve">Reserves will increase as out-year use increases </t>
  </si>
  <si>
    <t>24/7 tracking:  fire, smoke, flood, heat, security</t>
  </si>
  <si>
    <t>Phone/DSL</t>
  </si>
  <si>
    <t>Non-capital capacity gifts (foundation/indiv.)</t>
  </si>
  <si>
    <t>Tied to 1990's improvements (estimated)</t>
  </si>
  <si>
    <t>Excludes reserve-funded deferred maint./ capital</t>
  </si>
  <si>
    <t>Programmable thermostats; efficiency enhancements</t>
  </si>
  <si>
    <t>Recommended 2010-2011 FMW Property Budget -- Meeting House</t>
  </si>
  <si>
    <t xml:space="preserve">Proposed FY11 Budget </t>
  </si>
  <si>
    <t xml:space="preserve">   Staff and Contract Management</t>
  </si>
  <si>
    <t xml:space="preserve">Continue FY10 level </t>
  </si>
  <si>
    <t>Continue FY10 level</t>
  </si>
  <si>
    <t>Supplies &amp; Equipment</t>
  </si>
  <si>
    <t>More care: 3 days/week X 4 hours @ $14</t>
  </si>
  <si>
    <t>Excludes general support of the Meeting</t>
  </si>
  <si>
    <t>Staff time spent on property management unknown</t>
  </si>
  <si>
    <t>Designated grants and contributions</t>
  </si>
  <si>
    <t xml:space="preserve">The founding purpose of the Friends Meeting of Washington, D.C. was “to foster </t>
  </si>
  <si>
    <t xml:space="preserve">simple spiritual worship and such activities of service as Friends may feel themselves </t>
  </si>
  <si>
    <t xml:space="preserve">called to undertake.” </t>
  </si>
  <si>
    <t xml:space="preserve">The School for Friends child development center and Peace Tax Fund are examples </t>
  </si>
  <si>
    <t xml:space="preserve">under the Friends Meeting of Washington.  </t>
  </si>
  <si>
    <t xml:space="preserve">Building on this history, and drawing lessons from past challenges in fulfilling this </t>
  </si>
  <si>
    <t xml:space="preserve">vision, the FMW Property Committee proposes a renewed effort to fully utilize </t>
  </si>
  <si>
    <t>Quaker House in furtherance of FMW’s mission and Quaker testimonies.</t>
  </si>
  <si>
    <t xml:space="preserve">All non-FMW office and event users of Quaker House must have a written agreement, </t>
  </si>
  <si>
    <t xml:space="preserve">including procedures and rules for safe, secure, and sustainable use.  All ongoing </t>
  </si>
  <si>
    <t xml:space="preserve">users of Quaker House must provide an annual report to the FMW Property Committee </t>
  </si>
  <si>
    <t>on the ways that they have helped advance the mission of the Meeting.  Non-FMW</t>
  </si>
  <si>
    <t>space users must reimburse the Meeting in advance for the cost of such use.  Requests</t>
  </si>
  <si>
    <t>for subsidy of the reimbursement rate must be approved in advance by the Meeting.</t>
  </si>
  <si>
    <t xml:space="preserve">Quaker House will display information about upcoming programs and ways for </t>
  </si>
  <si>
    <t>aligned organizations.</t>
  </si>
  <si>
    <t xml:space="preserve">The FMW Property Committee will host a quarterly meeting for all regular users, </t>
  </si>
  <si>
    <t xml:space="preserve">participants, and supporters of Quaker House to review needs, ideas, and </t>
  </si>
  <si>
    <t xml:space="preserve">uses of Quaker House are safe, secure, sustainable, covering costs, and in keeping </t>
  </si>
  <si>
    <t>with the mission and Spirit of the Friends Meeting of Washington.</t>
  </si>
  <si>
    <t>Starting Points</t>
  </si>
  <si>
    <t>Draft Basic Management Framework</t>
  </si>
  <si>
    <t xml:space="preserve">Since its opening in this spirit in 1970 to host such worship and service activities and </t>
  </si>
  <si>
    <t xml:space="preserve">nurture community, Quaker House has hosted offices and programs for people </t>
  </si>
  <si>
    <t>of all colors, cultures, creeds, ages, and walks of life, engaging in work consistent with</t>
  </si>
  <si>
    <t xml:space="preserve">and furthering Quaker practice, witness, and testimonies, including Equality and </t>
  </si>
  <si>
    <t xml:space="preserve">Community, Earth and Environment, Truth and Integrity, Simplicity, and Peace.  </t>
  </si>
  <si>
    <t xml:space="preserve">people to engage in the life of the Friends Meeting of Washington and spiritually  </t>
  </si>
  <si>
    <t>opportunities for continual improvements.   We will continually seek to ensure that all</t>
  </si>
  <si>
    <t xml:space="preserve">Maintenance forms will be posted in Quaker House for any user to fill out.  All users </t>
  </si>
  <si>
    <t>Recommended Property Budget:  FMW Shared Space Revitalization</t>
  </si>
  <si>
    <t>Commercial Property portion only (estimated proration)</t>
  </si>
  <si>
    <t>Actual YTD through 2/9/10</t>
  </si>
  <si>
    <t>Weekly service-- new contract?  (actual MH percentage higher)</t>
  </si>
  <si>
    <t>Energy efficient management (prev. 12-month total = $5028)</t>
  </si>
  <si>
    <t>Efficiency enhancements (prev. 12-month total = $8296)</t>
  </si>
  <si>
    <t>Continue FY10 level in Meeting House; $750 per month in QH</t>
  </si>
  <si>
    <t>Continue FY10 level in Meeting House, $65,295 in QH</t>
  </si>
  <si>
    <t xml:space="preserve">of non-profit organizations currently housed here that are aligned with but not </t>
  </si>
  <si>
    <t xml:space="preserve">are asked to fill out a form as soon as they notice a non-urgent problem.  People will be </t>
  </si>
  <si>
    <t xml:space="preserve">notified within 10 business days whether their request is a simple repair that can be fixed </t>
  </si>
  <si>
    <t>right away, or, if the problem is more complex, how long it is expected to take to resolve.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</si>
</sst>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_);[Red]\(###,##0\)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_);_(&quot;$&quot;* \(#,##0.0\);_(&quot;$&quot;* &quot;-&quot;??_);_(@_)"/>
    <numFmt numFmtId="168" formatCode="_(* #,##0.0_);_(* \(#,##0.0\);_(* &quot;-&quot;??_);_(@_)"/>
    <numFmt numFmtId="169" formatCode="_(* #,##0.0_);_(* \(#,##0.0\);_(* &quot;-&quot;?_);_(@_)"/>
    <numFmt numFmtId="170" formatCode="###,##0.0_);[Red]\(###,##0.0\)"/>
    <numFmt numFmtId="171" formatCode="###,##0.00_);[Red]\(###,##0.00\)"/>
    <numFmt numFmtId="172" formatCode="###,##0.000_);[Red]\(###,##0.000\)"/>
    <numFmt numFmtId="173" formatCode="_(* #,##0.000_);_(* \(#,##0.000\);_(* &quot;-&quot;??_);_(@_)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0.000"/>
    <numFmt numFmtId="177" formatCode="0.0"/>
  </numFmts>
  <fonts count="38">
    <font>
      <sz val="8"/>
      <color indexed="8"/>
      <name val="Tahoma"/>
      <family val="2"/>
    </font>
    <font>
      <sz val="12"/>
      <color indexed="8"/>
      <name val="Times New Roman"/>
      <family val="2"/>
    </font>
    <font>
      <sz val="8"/>
      <color indexed="20"/>
      <name val="Tahoma"/>
      <family val="2"/>
    </font>
    <font>
      <b/>
      <sz val="8"/>
      <color indexed="56"/>
      <name val="Tahoma"/>
      <family val="2"/>
    </font>
    <font>
      <sz val="12"/>
      <color indexed="8"/>
      <name val="Tahoma"/>
      <family val="2"/>
    </font>
    <font>
      <b/>
      <sz val="12"/>
      <color indexed="8"/>
      <name val="Times New Roman"/>
      <family val="1"/>
    </font>
    <font>
      <sz val="8"/>
      <color indexed="9"/>
      <name val="Tahoma"/>
      <family val="2"/>
    </font>
    <font>
      <b/>
      <sz val="8"/>
      <color indexed="52"/>
      <name val="Tahoma"/>
      <family val="2"/>
    </font>
    <font>
      <b/>
      <sz val="8"/>
      <color indexed="9"/>
      <name val="Tahoma"/>
      <family val="2"/>
    </font>
    <font>
      <i/>
      <sz val="8"/>
      <color indexed="23"/>
      <name val="Tahoma"/>
      <family val="2"/>
    </font>
    <font>
      <sz val="8"/>
      <color indexed="17"/>
      <name val="Tahoma"/>
      <family val="2"/>
    </font>
    <font>
      <sz val="8"/>
      <color indexed="62"/>
      <name val="Tahoma"/>
      <family val="2"/>
    </font>
    <font>
      <sz val="8"/>
      <color indexed="52"/>
      <name val="Tahoma"/>
      <family val="2"/>
    </font>
    <font>
      <sz val="8"/>
      <color indexed="60"/>
      <name val="Tahoma"/>
      <family val="2"/>
    </font>
    <font>
      <b/>
      <sz val="8"/>
      <color indexed="63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0"/>
    </font>
    <font>
      <sz val="8"/>
      <color indexed="8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Arial"/>
      <family val="2"/>
    </font>
    <font>
      <b/>
      <u val="singleAccounting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Book Antiqua"/>
      <family val="1"/>
    </font>
    <font>
      <sz val="16"/>
      <color indexed="8"/>
      <name val="Book Antiqua"/>
      <family val="1"/>
    </font>
    <font>
      <b/>
      <u val="single"/>
      <sz val="12"/>
      <color indexed="8"/>
      <name val="Book Antiqua"/>
      <family val="1"/>
    </font>
    <font>
      <sz val="14"/>
      <color indexed="8"/>
      <name val="Book Antiqu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/>
      <bottom style="thick"/>
    </border>
    <border>
      <left/>
      <right/>
      <top/>
      <bottom style="double"/>
    </border>
    <border>
      <left/>
      <right>
        <color indexed="63"/>
      </right>
      <top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right" vertical="top" wrapText="1"/>
    </xf>
    <xf numFmtId="164" fontId="5" fillId="0" borderId="0" xfId="0" applyNumberFormat="1" applyFont="1" applyAlignment="1">
      <alignment horizontal="center" wrapText="1"/>
    </xf>
    <xf numFmtId="164" fontId="1" fillId="0" borderId="10" xfId="0" applyNumberFormat="1" applyFont="1" applyBorder="1" applyAlignment="1">
      <alignment horizontal="right" vertical="top" wrapText="1"/>
    </xf>
    <xf numFmtId="164" fontId="1" fillId="0" borderId="11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wrapText="1"/>
    </xf>
    <xf numFmtId="164" fontId="1" fillId="0" borderId="12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5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 horizontal="center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165" fontId="1" fillId="0" borderId="0" xfId="42" applyNumberFormat="1" applyFont="1" applyAlignment="1">
      <alignment/>
    </xf>
    <xf numFmtId="166" fontId="1" fillId="0" borderId="0" xfId="44" applyNumberFormat="1" applyFont="1" applyAlignment="1">
      <alignment/>
    </xf>
    <xf numFmtId="43" fontId="24" fillId="0" borderId="0" xfId="42" applyFont="1" applyAlignment="1">
      <alignment/>
    </xf>
    <xf numFmtId="165" fontId="1" fillId="0" borderId="0" xfId="42" applyNumberFormat="1" applyFont="1" applyAlignment="1">
      <alignment/>
    </xf>
    <xf numFmtId="166" fontId="1" fillId="0" borderId="0" xfId="44" applyNumberFormat="1" applyFont="1" applyAlignment="1">
      <alignment horizontal="center"/>
    </xf>
    <xf numFmtId="0" fontId="25" fillId="0" borderId="0" xfId="0" applyFont="1" applyAlignment="1">
      <alignment/>
    </xf>
    <xf numFmtId="166" fontId="25" fillId="0" borderId="0" xfId="0" applyNumberFormat="1" applyFont="1" applyAlignment="1">
      <alignment/>
    </xf>
    <xf numFmtId="166" fontId="25" fillId="0" borderId="0" xfId="44" applyNumberFormat="1" applyFont="1" applyAlignment="1">
      <alignment/>
    </xf>
    <xf numFmtId="165" fontId="1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5" fillId="0" borderId="0" xfId="0" applyFont="1" applyAlignment="1">
      <alignment/>
    </xf>
    <xf numFmtId="165" fontId="5" fillId="0" borderId="0" xfId="42" applyNumberFormat="1" applyFont="1" applyAlignment="1">
      <alignment/>
    </xf>
    <xf numFmtId="44" fontId="23" fillId="0" borderId="0" xfId="44" applyFont="1" applyAlignment="1">
      <alignment/>
    </xf>
    <xf numFmtId="0" fontId="27" fillId="0" borderId="0" xfId="0" applyFont="1" applyAlignment="1">
      <alignment/>
    </xf>
    <xf numFmtId="44" fontId="1" fillId="0" borderId="0" xfId="44" applyFont="1" applyAlignment="1">
      <alignment horizontal="center"/>
    </xf>
    <xf numFmtId="0" fontId="21" fillId="0" borderId="0" xfId="0" applyFont="1" applyAlignment="1">
      <alignment horizontal="left"/>
    </xf>
    <xf numFmtId="164" fontId="1" fillId="0" borderId="13" xfId="0" applyNumberFormat="1" applyFont="1" applyBorder="1" applyAlignment="1">
      <alignment horizontal="right" vertical="top" wrapText="1"/>
    </xf>
    <xf numFmtId="164" fontId="1" fillId="0" borderId="14" xfId="0" applyNumberFormat="1" applyFont="1" applyBorder="1" applyAlignment="1">
      <alignment horizontal="right" vertical="top" wrapText="1"/>
    </xf>
    <xf numFmtId="164" fontId="1" fillId="0" borderId="15" xfId="0" applyNumberFormat="1" applyFont="1" applyBorder="1" applyAlignment="1">
      <alignment horizontal="right" vertical="top" wrapText="1"/>
    </xf>
    <xf numFmtId="164" fontId="1" fillId="0" borderId="16" xfId="0" applyNumberFormat="1" applyFont="1" applyBorder="1" applyAlignment="1">
      <alignment horizontal="right" vertical="top" wrapText="1"/>
    </xf>
    <xf numFmtId="164" fontId="1" fillId="0" borderId="17" xfId="0" applyNumberFormat="1" applyFont="1" applyBorder="1" applyAlignment="1">
      <alignment horizontal="right" vertical="top" wrapText="1"/>
    </xf>
    <xf numFmtId="164" fontId="1" fillId="0" borderId="18" xfId="0" applyNumberFormat="1" applyFont="1" applyBorder="1" applyAlignment="1">
      <alignment horizontal="right" vertical="top" wrapText="1"/>
    </xf>
    <xf numFmtId="171" fontId="4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9" fontId="1" fillId="0" borderId="0" xfId="57" applyFont="1" applyAlignment="1">
      <alignment/>
    </xf>
    <xf numFmtId="9" fontId="1" fillId="0" borderId="0" xfId="57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65" fontId="5" fillId="0" borderId="0" xfId="42" applyNumberFormat="1" applyFont="1" applyAlignment="1">
      <alignment/>
    </xf>
    <xf numFmtId="164" fontId="1" fillId="0" borderId="0" xfId="0" applyNumberFormat="1" applyFont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164" fontId="1" fillId="0" borderId="15" xfId="0" applyNumberFormat="1" applyFont="1" applyBorder="1" applyAlignment="1">
      <alignment horizontal="center" vertical="top" wrapText="1"/>
    </xf>
    <xf numFmtId="165" fontId="25" fillId="0" borderId="0" xfId="42" applyNumberFormat="1" applyFont="1" applyAlignment="1">
      <alignment/>
    </xf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9" fillId="0" borderId="0" xfId="0" applyFont="1" applyAlignment="1">
      <alignment/>
    </xf>
    <xf numFmtId="166" fontId="0" fillId="0" borderId="0" xfId="44" applyNumberFormat="1" applyAlignment="1">
      <alignment/>
    </xf>
    <xf numFmtId="165" fontId="23" fillId="0" borderId="0" xfId="42" applyNumberFormat="1" applyFont="1" applyAlignment="1">
      <alignment/>
    </xf>
    <xf numFmtId="44" fontId="30" fillId="0" borderId="0" xfId="44" applyFont="1" applyAlignment="1">
      <alignment horizontal="left"/>
    </xf>
    <xf numFmtId="44" fontId="1" fillId="0" borderId="0" xfId="44" applyFont="1" applyAlignment="1">
      <alignment/>
    </xf>
    <xf numFmtId="44" fontId="1" fillId="0" borderId="0" xfId="44" applyFont="1" applyAlignment="1">
      <alignment horizontal="left"/>
    </xf>
    <xf numFmtId="0" fontId="31" fillId="0" borderId="0" xfId="0" applyFont="1" applyAlignment="1">
      <alignment/>
    </xf>
    <xf numFmtId="165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left"/>
    </xf>
    <xf numFmtId="166" fontId="5" fillId="0" borderId="0" xfId="0" applyNumberFormat="1" applyFont="1" applyAlignment="1">
      <alignment/>
    </xf>
    <xf numFmtId="0" fontId="32" fillId="0" borderId="0" xfId="0" applyFont="1" applyAlignment="1">
      <alignment/>
    </xf>
    <xf numFmtId="166" fontId="5" fillId="0" borderId="0" xfId="44" applyNumberFormat="1" applyFont="1" applyAlignment="1">
      <alignment/>
    </xf>
    <xf numFmtId="166" fontId="1" fillId="0" borderId="0" xfId="0" applyNumberFormat="1" applyFont="1" applyAlignment="1">
      <alignment horizontal="center"/>
    </xf>
    <xf numFmtId="172" fontId="1" fillId="0" borderId="0" xfId="0" applyNumberFormat="1" applyFont="1" applyBorder="1" applyAlignment="1">
      <alignment horizontal="left" vertical="top" wrapText="1"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3" fillId="0" borderId="0" xfId="0" applyFont="1" applyAlignment="1">
      <alignment/>
    </xf>
    <xf numFmtId="165" fontId="0" fillId="0" borderId="0" xfId="0" applyNumberFormat="1" applyAlignment="1">
      <alignment/>
    </xf>
    <xf numFmtId="164" fontId="1" fillId="0" borderId="16" xfId="0" applyNumberFormat="1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left" inden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29">
      <selection activeCell="E34" sqref="E34"/>
    </sheetView>
  </sheetViews>
  <sheetFormatPr defaultColWidth="9.33203125" defaultRowHeight="10.5"/>
  <cols>
    <col min="1" max="1" width="3.33203125" style="0" customWidth="1"/>
    <col min="8" max="8" width="12.33203125" style="0" bestFit="1" customWidth="1"/>
    <col min="12" max="12" width="9.5" style="0" customWidth="1"/>
  </cols>
  <sheetData>
    <row r="1" spans="2:6" ht="18.75">
      <c r="B1" s="94" t="s">
        <v>159</v>
      </c>
      <c r="C1" s="89"/>
      <c r="F1" s="89"/>
    </row>
    <row r="2" spans="1:6" ht="9.75" customHeight="1">
      <c r="A2" s="91"/>
      <c r="B2" s="92"/>
      <c r="C2" s="89"/>
      <c r="D2" s="89"/>
      <c r="E2" s="89"/>
      <c r="F2" s="89"/>
    </row>
    <row r="3" spans="2:6" ht="16.5">
      <c r="B3" s="89"/>
      <c r="C3" s="89"/>
      <c r="D3" s="89"/>
      <c r="F3" s="93" t="s">
        <v>149</v>
      </c>
    </row>
    <row r="4" ht="15.75">
      <c r="B4" s="89" t="s">
        <v>129</v>
      </c>
    </row>
    <row r="5" ht="15.75">
      <c r="B5" s="89" t="s">
        <v>130</v>
      </c>
    </row>
    <row r="6" ht="15.75">
      <c r="B6" s="89" t="s">
        <v>131</v>
      </c>
    </row>
    <row r="7" ht="15.75">
      <c r="B7" s="90"/>
    </row>
    <row r="8" ht="15.75">
      <c r="B8" s="89" t="s">
        <v>151</v>
      </c>
    </row>
    <row r="9" ht="15.75">
      <c r="B9" s="89" t="s">
        <v>152</v>
      </c>
    </row>
    <row r="10" ht="15.75">
      <c r="B10" s="89" t="s">
        <v>153</v>
      </c>
    </row>
    <row r="11" ht="15.75">
      <c r="B11" s="89" t="s">
        <v>154</v>
      </c>
    </row>
    <row r="12" ht="15.75">
      <c r="B12" s="89" t="s">
        <v>155</v>
      </c>
    </row>
    <row r="14" ht="15.75">
      <c r="B14" s="89" t="s">
        <v>132</v>
      </c>
    </row>
    <row r="15" ht="15.75">
      <c r="B15" s="89" t="s">
        <v>167</v>
      </c>
    </row>
    <row r="16" ht="15.75">
      <c r="B16" s="89" t="s">
        <v>133</v>
      </c>
    </row>
    <row r="18" ht="15.75">
      <c r="B18" s="89" t="s">
        <v>134</v>
      </c>
    </row>
    <row r="19" ht="15.75">
      <c r="B19" s="89" t="s">
        <v>135</v>
      </c>
    </row>
    <row r="20" ht="15.75">
      <c r="B20" s="89" t="s">
        <v>136</v>
      </c>
    </row>
    <row r="22" spans="2:5" ht="16.5">
      <c r="B22" s="89"/>
      <c r="E22" s="93" t="s">
        <v>150</v>
      </c>
    </row>
    <row r="23" ht="15.75">
      <c r="B23" s="89" t="s">
        <v>137</v>
      </c>
    </row>
    <row r="24" ht="15.75">
      <c r="B24" s="89" t="s">
        <v>138</v>
      </c>
    </row>
    <row r="25" ht="15.75">
      <c r="B25" s="89" t="s">
        <v>139</v>
      </c>
    </row>
    <row r="26" ht="15.75">
      <c r="B26" s="89" t="s">
        <v>140</v>
      </c>
    </row>
    <row r="27" ht="15.75">
      <c r="B27" s="89" t="s">
        <v>141</v>
      </c>
    </row>
    <row r="28" ht="15.75">
      <c r="B28" s="89" t="s">
        <v>142</v>
      </c>
    </row>
    <row r="29" ht="15.75">
      <c r="B29" s="89"/>
    </row>
    <row r="30" ht="15.75">
      <c r="B30" s="89" t="s">
        <v>158</v>
      </c>
    </row>
    <row r="31" ht="15.75">
      <c r="B31" s="89" t="s">
        <v>168</v>
      </c>
    </row>
    <row r="32" ht="15.75">
      <c r="B32" s="89" t="s">
        <v>169</v>
      </c>
    </row>
    <row r="33" ht="15.75">
      <c r="B33" s="89" t="s">
        <v>170</v>
      </c>
    </row>
    <row r="34" ht="15.75">
      <c r="B34" s="89"/>
    </row>
    <row r="35" ht="15.75">
      <c r="B35" s="89" t="s">
        <v>143</v>
      </c>
    </row>
    <row r="36" ht="15.75">
      <c r="B36" s="89" t="s">
        <v>156</v>
      </c>
    </row>
    <row r="37" ht="15.75">
      <c r="B37" s="89" t="s">
        <v>144</v>
      </c>
    </row>
    <row r="39" ht="15.75">
      <c r="B39" s="89" t="s">
        <v>145</v>
      </c>
    </row>
    <row r="40" ht="15.75">
      <c r="B40" s="89" t="s">
        <v>146</v>
      </c>
    </row>
    <row r="41" ht="15.75">
      <c r="B41" s="89" t="s">
        <v>157</v>
      </c>
    </row>
    <row r="42" ht="15.75">
      <c r="B42" s="89" t="s">
        <v>147</v>
      </c>
    </row>
    <row r="43" ht="15.75">
      <c r="B43" s="89" t="s">
        <v>148</v>
      </c>
    </row>
    <row r="44" ht="15.75">
      <c r="H44" s="89"/>
    </row>
  </sheetData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C27" sqref="C27"/>
    </sheetView>
  </sheetViews>
  <sheetFormatPr defaultColWidth="9.33203125" defaultRowHeight="10.5"/>
  <cols>
    <col min="1" max="1" width="35.16015625" style="0" customWidth="1"/>
    <col min="2" max="3" width="10.5" style="0" customWidth="1"/>
    <col min="4" max="4" width="14" style="0" customWidth="1"/>
    <col min="5" max="5" width="66.5" style="0" customWidth="1"/>
  </cols>
  <sheetData>
    <row r="1" ht="20.25">
      <c r="A1" s="85" t="s">
        <v>119</v>
      </c>
    </row>
    <row r="2" spans="1:5" ht="75" customHeight="1">
      <c r="A2" s="4"/>
      <c r="B2" s="7" t="s">
        <v>26</v>
      </c>
      <c r="C2" s="7" t="s">
        <v>161</v>
      </c>
      <c r="D2" s="18" t="s">
        <v>120</v>
      </c>
      <c r="E2" s="20" t="s">
        <v>1</v>
      </c>
    </row>
    <row r="3" spans="1:5" ht="15" customHeight="1">
      <c r="A3" s="5" t="s">
        <v>6</v>
      </c>
      <c r="B3" s="6"/>
      <c r="C3" s="6"/>
      <c r="D3" s="10"/>
      <c r="E3" s="14" t="s">
        <v>126</v>
      </c>
    </row>
    <row r="4" spans="1:5" ht="15" customHeight="1">
      <c r="A4" s="5" t="s">
        <v>7</v>
      </c>
      <c r="B4" s="6"/>
      <c r="C4" s="6"/>
      <c r="D4" s="10"/>
      <c r="E4" s="14"/>
    </row>
    <row r="5" spans="1:5" ht="15" customHeight="1">
      <c r="A5" s="5" t="s">
        <v>8</v>
      </c>
      <c r="B5" s="6">
        <f>47688-39648</f>
        <v>8040</v>
      </c>
      <c r="C5" s="6">
        <v>4576</v>
      </c>
      <c r="D5" s="10">
        <f>B5</f>
        <v>8040</v>
      </c>
      <c r="E5" s="16" t="s">
        <v>122</v>
      </c>
    </row>
    <row r="6" spans="1:5" ht="15" customHeight="1">
      <c r="A6" s="5" t="s">
        <v>9</v>
      </c>
      <c r="B6" s="51">
        <v>2960</v>
      </c>
      <c r="C6" s="52">
        <v>1358</v>
      </c>
      <c r="D6" s="52">
        <f>2960</f>
        <v>2960</v>
      </c>
      <c r="E6" s="14" t="s">
        <v>123</v>
      </c>
    </row>
    <row r="7" spans="1:5" ht="15" customHeight="1">
      <c r="A7" s="5" t="s">
        <v>10</v>
      </c>
      <c r="B7" s="6">
        <f>SUM(B5:B6)</f>
        <v>11000</v>
      </c>
      <c r="C7" s="6">
        <f>SUM(C5:C6)</f>
        <v>5934</v>
      </c>
      <c r="D7" s="10">
        <f>SUM(D5:D6)</f>
        <v>11000</v>
      </c>
      <c r="E7" s="14"/>
    </row>
    <row r="8" spans="1:5" ht="15" customHeight="1">
      <c r="A8" s="5"/>
      <c r="B8" s="6"/>
      <c r="C8" s="6"/>
      <c r="D8" s="10"/>
      <c r="E8" s="14"/>
    </row>
    <row r="9" spans="1:5" ht="15" customHeight="1" thickBot="1">
      <c r="A9" s="17" t="s">
        <v>22</v>
      </c>
      <c r="B9" s="49"/>
      <c r="C9" s="50"/>
      <c r="D9" s="50"/>
      <c r="E9" s="16"/>
    </row>
    <row r="10" spans="1:5" ht="15" customHeight="1" thickTop="1">
      <c r="A10" s="5" t="s">
        <v>11</v>
      </c>
      <c r="B10" s="6">
        <f>SUM(B7:B9)</f>
        <v>11000</v>
      </c>
      <c r="C10" s="6">
        <f>SUM(C5,C6,C9)</f>
        <v>5934</v>
      </c>
      <c r="D10" s="10">
        <f>SUM(D7:D9)</f>
        <v>11000</v>
      </c>
      <c r="E10" s="14"/>
    </row>
    <row r="11" spans="1:5" ht="15" customHeight="1">
      <c r="A11" s="5" t="s">
        <v>12</v>
      </c>
      <c r="B11" s="6"/>
      <c r="C11" s="6"/>
      <c r="D11" s="10"/>
      <c r="E11" s="14"/>
    </row>
    <row r="12" spans="1:5" ht="15" customHeight="1">
      <c r="A12" s="5" t="s">
        <v>121</v>
      </c>
      <c r="B12" s="62" t="s">
        <v>32</v>
      </c>
      <c r="C12" s="62" t="s">
        <v>32</v>
      </c>
      <c r="D12" s="88" t="s">
        <v>32</v>
      </c>
      <c r="E12" s="14" t="s">
        <v>127</v>
      </c>
    </row>
    <row r="13" spans="1:5" ht="15" customHeight="1">
      <c r="A13" s="5"/>
      <c r="B13" s="6"/>
      <c r="C13" s="6"/>
      <c r="D13" s="10"/>
      <c r="E13" s="14"/>
    </row>
    <row r="14" spans="1:5" ht="15" customHeight="1">
      <c r="A14" s="5" t="s">
        <v>13</v>
      </c>
      <c r="B14" s="6"/>
      <c r="C14" s="6"/>
      <c r="D14" s="10"/>
      <c r="E14" s="82"/>
    </row>
    <row r="15" spans="1:5" ht="15" customHeight="1">
      <c r="A15" s="17" t="s">
        <v>101</v>
      </c>
      <c r="B15" s="6">
        <v>6250</v>
      </c>
      <c r="C15" s="6">
        <v>2223</v>
      </c>
      <c r="D15" s="10">
        <v>4000</v>
      </c>
      <c r="E15" s="16" t="s">
        <v>163</v>
      </c>
    </row>
    <row r="16" spans="1:5" ht="15" customHeight="1">
      <c r="A16" s="17" t="s">
        <v>102</v>
      </c>
      <c r="B16" s="6">
        <v>10000</v>
      </c>
      <c r="C16" s="6">
        <v>5054</v>
      </c>
      <c r="D16" s="10">
        <v>7600</v>
      </c>
      <c r="E16" s="16" t="s">
        <v>164</v>
      </c>
    </row>
    <row r="17" spans="1:5" ht="15" customHeight="1">
      <c r="A17" s="17" t="s">
        <v>104</v>
      </c>
      <c r="B17" s="6">
        <v>1250</v>
      </c>
      <c r="C17" s="6">
        <v>595</v>
      </c>
      <c r="D17" s="10">
        <v>1200</v>
      </c>
      <c r="E17" s="16"/>
    </row>
    <row r="18" spans="1:5" ht="15" customHeight="1">
      <c r="A18" s="11" t="s">
        <v>5</v>
      </c>
      <c r="B18" s="10">
        <v>8000</v>
      </c>
      <c r="C18" s="10">
        <v>2472</v>
      </c>
      <c r="D18" s="10">
        <v>9000</v>
      </c>
      <c r="E18" s="16"/>
    </row>
    <row r="19" spans="1:5" ht="15" customHeight="1">
      <c r="A19" s="11" t="s">
        <v>19</v>
      </c>
      <c r="B19" s="10">
        <v>8000</v>
      </c>
      <c r="C19" s="10">
        <v>6359</v>
      </c>
      <c r="D19" s="10">
        <v>8000</v>
      </c>
      <c r="E19" s="16" t="s">
        <v>24</v>
      </c>
    </row>
    <row r="20" spans="1:5" ht="15" customHeight="1">
      <c r="A20" s="19" t="s">
        <v>23</v>
      </c>
      <c r="B20" s="10">
        <f>6000+500+900</f>
        <v>7400</v>
      </c>
      <c r="C20" s="10">
        <v>3996</v>
      </c>
      <c r="D20" s="10">
        <f>SUM(10000,750,900)</f>
        <v>11650</v>
      </c>
      <c r="E20" s="16" t="s">
        <v>162</v>
      </c>
    </row>
    <row r="21" spans="1:5" ht="15" customHeight="1">
      <c r="A21" s="11" t="s">
        <v>2</v>
      </c>
      <c r="B21" s="51">
        <f>0.6*10311</f>
        <v>6186.599999999999</v>
      </c>
      <c r="C21" s="52">
        <f>7/12*6187</f>
        <v>3609.0833333333335</v>
      </c>
      <c r="D21" s="52">
        <f>0.6*11000</f>
        <v>6600</v>
      </c>
      <c r="E21" s="16" t="s">
        <v>160</v>
      </c>
    </row>
    <row r="22" spans="1:5" ht="15" customHeight="1">
      <c r="A22" s="5" t="s">
        <v>14</v>
      </c>
      <c r="B22" s="6">
        <f>SUM(B15:B21)</f>
        <v>47086.6</v>
      </c>
      <c r="C22" s="6">
        <f>SUM(C15:C21)</f>
        <v>24308.083333333332</v>
      </c>
      <c r="D22" s="10">
        <f>SUM(D12:D21)</f>
        <v>48050</v>
      </c>
      <c r="E22" s="14"/>
    </row>
    <row r="23" spans="1:5" ht="15" customHeight="1">
      <c r="A23" s="5"/>
      <c r="B23" s="6"/>
      <c r="C23" s="6"/>
      <c r="D23" s="10"/>
      <c r="E23" s="14"/>
    </row>
    <row r="24" spans="1:5" ht="15" customHeight="1">
      <c r="A24" s="5" t="s">
        <v>15</v>
      </c>
      <c r="B24" s="6"/>
      <c r="C24" s="6"/>
      <c r="D24" s="10"/>
      <c r="E24" s="14"/>
    </row>
    <row r="25" spans="1:5" ht="15" customHeight="1">
      <c r="A25" s="17" t="s">
        <v>25</v>
      </c>
      <c r="B25" s="62" t="s">
        <v>32</v>
      </c>
      <c r="C25" s="6">
        <v>0</v>
      </c>
      <c r="D25" s="10"/>
      <c r="E25" s="16"/>
    </row>
    <row r="26" spans="1:5" ht="15" customHeight="1">
      <c r="A26" s="5" t="s">
        <v>20</v>
      </c>
      <c r="B26" s="64" t="s">
        <v>32</v>
      </c>
      <c r="C26" s="52">
        <v>0</v>
      </c>
      <c r="D26" s="52"/>
      <c r="E26" s="16"/>
    </row>
    <row r="27" spans="1:5" ht="15" customHeight="1">
      <c r="A27" s="5" t="s">
        <v>16</v>
      </c>
      <c r="B27" s="6">
        <f>SUM(B25:B26)</f>
        <v>0</v>
      </c>
      <c r="C27" s="6">
        <v>0</v>
      </c>
      <c r="D27" s="10">
        <f>SUM(D25:D26)</f>
        <v>0</v>
      </c>
      <c r="E27" s="14"/>
    </row>
    <row r="28" spans="1:5" ht="15" customHeight="1">
      <c r="A28" s="5"/>
      <c r="B28" s="6"/>
      <c r="C28" s="6"/>
      <c r="D28" s="10"/>
      <c r="E28" s="14"/>
    </row>
    <row r="29" spans="1:5" ht="15" customHeight="1">
      <c r="A29" s="1"/>
      <c r="B29" s="2"/>
      <c r="C29" s="2"/>
      <c r="D29" s="12"/>
      <c r="E29" s="15"/>
    </row>
    <row r="30" spans="1:5" ht="15" customHeight="1">
      <c r="A30" s="5" t="s">
        <v>17</v>
      </c>
      <c r="B30" s="51">
        <f>SUM(B22,B27)</f>
        <v>47086.6</v>
      </c>
      <c r="C30" s="52">
        <f>SUM(C22,349,C27)</f>
        <v>24657.083333333332</v>
      </c>
      <c r="D30" s="52">
        <f>SUM(D22,D27)</f>
        <v>48050</v>
      </c>
      <c r="E30" s="14"/>
    </row>
    <row r="31" spans="1:5" ht="15" customHeight="1">
      <c r="A31" s="5"/>
      <c r="B31" s="6"/>
      <c r="C31" s="6"/>
      <c r="D31" s="10"/>
      <c r="E31" s="14"/>
    </row>
    <row r="32" spans="1:5" ht="15" customHeight="1">
      <c r="A32" s="5" t="s">
        <v>18</v>
      </c>
      <c r="B32" s="6">
        <f>+B10-B30</f>
        <v>-36086.6</v>
      </c>
      <c r="C32" s="6">
        <f>C10-C30</f>
        <v>-18723.083333333332</v>
      </c>
      <c r="D32" s="10">
        <f>D10-D30</f>
        <v>-37050</v>
      </c>
      <c r="E32" s="14"/>
    </row>
    <row r="33" spans="1:5" ht="15" customHeight="1">
      <c r="A33" s="5"/>
      <c r="B33" s="6"/>
      <c r="C33" s="6"/>
      <c r="D33" s="10"/>
      <c r="E33" s="14"/>
    </row>
    <row r="34" spans="1:5" ht="15" customHeight="1">
      <c r="A34" s="5" t="s">
        <v>3</v>
      </c>
      <c r="B34" s="51">
        <v>20669</v>
      </c>
      <c r="C34" s="52"/>
      <c r="D34" s="87"/>
      <c r="E34" s="14"/>
    </row>
    <row r="35" spans="1:5" ht="15" customHeight="1">
      <c r="A35" s="5"/>
      <c r="B35" s="10"/>
      <c r="C35" s="10"/>
      <c r="D35" s="10"/>
      <c r="E35" s="14"/>
    </row>
    <row r="36" spans="1:5" ht="15" customHeight="1" thickBot="1">
      <c r="A36" s="5" t="s">
        <v>4</v>
      </c>
      <c r="B36" s="53">
        <f>+B32-B34</f>
        <v>-56755.6</v>
      </c>
      <c r="C36" s="54"/>
      <c r="D36" s="54"/>
      <c r="E36" s="14"/>
    </row>
    <row r="37" spans="1:5" ht="15" customHeight="1" thickTop="1">
      <c r="A37" s="1"/>
      <c r="B37" s="12"/>
      <c r="C37" s="12"/>
      <c r="D37" s="12"/>
      <c r="E37" s="15"/>
    </row>
    <row r="38" ht="15" customHeight="1"/>
  </sheetData>
  <printOptions/>
  <pageMargins left="0.75" right="0.75" top="1" bottom="1" header="0.5" footer="0.5"/>
  <pageSetup fitToHeight="1" fitToWidth="1" horizontalDpi="600" verticalDpi="600" orientation="portrait" scale="82" r:id="rId1"/>
  <ignoredErrors>
    <ignoredError sqref="C10 C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workbookViewId="0" topLeftCell="A13">
      <selection activeCell="S22" sqref="S22"/>
    </sheetView>
  </sheetViews>
  <sheetFormatPr defaultColWidth="9.33203125" defaultRowHeight="10.5"/>
  <cols>
    <col min="1" max="1" width="1.83203125" style="0" customWidth="1"/>
    <col min="3" max="3" width="16.5" style="0" customWidth="1"/>
    <col min="4" max="4" width="6.66015625" style="0" customWidth="1"/>
    <col min="5" max="5" width="10.33203125" style="0" customWidth="1"/>
    <col min="6" max="6" width="0" style="0" hidden="1" customWidth="1"/>
    <col min="7" max="7" width="10.83203125" style="0" customWidth="1"/>
    <col min="8" max="8" width="10.5" style="0" customWidth="1"/>
    <col min="9" max="9" width="9.33203125" style="0" hidden="1" customWidth="1"/>
    <col min="10" max="10" width="11.5" style="0" customWidth="1"/>
    <col min="11" max="11" width="9" style="0" hidden="1" customWidth="1"/>
    <col min="12" max="12" width="1.171875" style="0" customWidth="1"/>
    <col min="14" max="14" width="10.83203125" style="0" bestFit="1" customWidth="1"/>
  </cols>
  <sheetData>
    <row r="1" ht="20.25">
      <c r="A1" s="85" t="s">
        <v>96</v>
      </c>
    </row>
    <row r="2" spans="1:2" ht="18.75">
      <c r="A2" s="46"/>
      <c r="B2" s="79" t="s">
        <v>97</v>
      </c>
    </row>
    <row r="3" spans="1:4" ht="18.75">
      <c r="A3" s="46"/>
      <c r="D3" s="79"/>
    </row>
    <row r="4" spans="1:3" ht="15.75">
      <c r="A4" s="48" t="s">
        <v>68</v>
      </c>
      <c r="B4" s="28"/>
      <c r="C4" s="28"/>
    </row>
    <row r="5" spans="1:3" ht="15.75">
      <c r="A5" s="48"/>
      <c r="B5" s="28" t="s">
        <v>84</v>
      </c>
      <c r="C5" s="28"/>
    </row>
    <row r="6" spans="1:3" ht="15.75">
      <c r="A6" s="48"/>
      <c r="B6" s="31" t="s">
        <v>76</v>
      </c>
      <c r="C6" s="31"/>
    </row>
    <row r="7" spans="1:3" ht="15.75">
      <c r="A7" s="28"/>
      <c r="B7" s="31" t="s">
        <v>78</v>
      </c>
      <c r="C7" s="31"/>
    </row>
    <row r="8" spans="1:3" ht="15.75">
      <c r="A8" s="28"/>
      <c r="B8" s="31" t="s">
        <v>65</v>
      </c>
      <c r="C8" s="31"/>
    </row>
    <row r="9" spans="1:3" ht="15.75">
      <c r="A9" s="28"/>
      <c r="B9" s="31" t="s">
        <v>75</v>
      </c>
      <c r="C9" s="31"/>
    </row>
    <row r="10" spans="1:3" ht="15.75">
      <c r="A10" s="28"/>
      <c r="B10" s="31" t="s">
        <v>85</v>
      </c>
      <c r="C10" s="31"/>
    </row>
    <row r="11" spans="1:3" ht="15.75">
      <c r="A11" s="28"/>
      <c r="B11" s="31" t="s">
        <v>34</v>
      </c>
      <c r="C11" s="31"/>
    </row>
    <row r="12" spans="1:3" ht="15.75">
      <c r="A12" s="28"/>
      <c r="B12" s="31" t="s">
        <v>64</v>
      </c>
      <c r="C12" s="31"/>
    </row>
    <row r="13" spans="1:3" ht="15.75">
      <c r="A13" s="28"/>
      <c r="B13" s="31" t="s">
        <v>71</v>
      </c>
      <c r="C13" s="31"/>
    </row>
    <row r="14" spans="1:3" ht="15.75">
      <c r="A14" s="28"/>
      <c r="B14" s="31" t="s">
        <v>58</v>
      </c>
      <c r="C14" s="28"/>
    </row>
    <row r="15" ht="18.75">
      <c r="A15" s="46"/>
    </row>
    <row r="16" spans="1:18" ht="15.75">
      <c r="A16" s="22"/>
      <c r="B16" s="23"/>
      <c r="C16" s="23"/>
      <c r="D16" s="24"/>
      <c r="E16" s="41" t="s">
        <v>80</v>
      </c>
      <c r="F16" s="22"/>
      <c r="G16" s="84" t="s">
        <v>94</v>
      </c>
      <c r="H16" s="41" t="s">
        <v>57</v>
      </c>
      <c r="I16" s="22"/>
      <c r="J16" s="60" t="s">
        <v>57</v>
      </c>
      <c r="R16" s="86"/>
    </row>
    <row r="17" spans="1:10" ht="15.75">
      <c r="A17" s="37" t="s">
        <v>60</v>
      </c>
      <c r="B17" s="28"/>
      <c r="C17" s="28"/>
      <c r="D17" s="28"/>
      <c r="E17" s="60" t="s">
        <v>41</v>
      </c>
      <c r="F17" s="29" t="s">
        <v>39</v>
      </c>
      <c r="G17" s="41" t="s">
        <v>41</v>
      </c>
      <c r="H17" s="41" t="s">
        <v>41</v>
      </c>
      <c r="I17" s="42" t="s">
        <v>39</v>
      </c>
      <c r="J17" s="60" t="s">
        <v>39</v>
      </c>
    </row>
    <row r="18" spans="1:17" ht="20.25">
      <c r="A18" s="28"/>
      <c r="B18" s="27" t="s">
        <v>28</v>
      </c>
      <c r="C18" s="28"/>
      <c r="D18" s="66" t="s">
        <v>29</v>
      </c>
      <c r="E18" s="66" t="s">
        <v>36</v>
      </c>
      <c r="F18" s="67" t="s">
        <v>40</v>
      </c>
      <c r="G18" s="66" t="s">
        <v>95</v>
      </c>
      <c r="H18" s="66" t="s">
        <v>35</v>
      </c>
      <c r="I18" s="67" t="s">
        <v>40</v>
      </c>
      <c r="J18" s="68" t="s">
        <v>35</v>
      </c>
      <c r="K18" s="56" t="s">
        <v>55</v>
      </c>
      <c r="M18" s="75" t="s">
        <v>1</v>
      </c>
      <c r="N18" s="72"/>
      <c r="O18" s="22"/>
      <c r="P18" s="22"/>
      <c r="Q18" s="69"/>
    </row>
    <row r="19" spans="1:17" ht="15.75">
      <c r="A19" s="28"/>
      <c r="B19" s="31" t="s">
        <v>77</v>
      </c>
      <c r="C19" s="31"/>
      <c r="D19" s="32">
        <v>939</v>
      </c>
      <c r="E19" s="33">
        <f>939*16.8/12</f>
        <v>1314.6000000000001</v>
      </c>
      <c r="F19" s="34">
        <v>17.21</v>
      </c>
      <c r="G19" s="33">
        <f>939*16.8/12</f>
        <v>1314.6000000000001</v>
      </c>
      <c r="H19" s="32">
        <v>1950</v>
      </c>
      <c r="I19" s="34">
        <f>H19*12/D19</f>
        <v>24.920127795527158</v>
      </c>
      <c r="J19" s="35">
        <f>SUM(2*1.15*E19,9*H19)</f>
        <v>20573.58</v>
      </c>
      <c r="K19" s="57">
        <f>(H20-E20)/E20</f>
        <v>1.54841997961264</v>
      </c>
      <c r="M19" s="30" t="s">
        <v>69</v>
      </c>
      <c r="N19" s="73"/>
      <c r="O19" s="22"/>
      <c r="P19" s="22"/>
      <c r="Q19" s="70"/>
    </row>
    <row r="20" spans="1:17" ht="15.75">
      <c r="A20" s="28"/>
      <c r="B20" s="31" t="s">
        <v>66</v>
      </c>
      <c r="C20" s="31"/>
      <c r="D20" s="32">
        <v>730</v>
      </c>
      <c r="E20" s="33">
        <v>981</v>
      </c>
      <c r="F20" s="34">
        <f>E20*12/D20</f>
        <v>16.126027397260273</v>
      </c>
      <c r="G20" s="33">
        <v>981</v>
      </c>
      <c r="H20" s="32">
        <v>2500</v>
      </c>
      <c r="I20" s="34">
        <f>H20*12/D20</f>
        <v>41.0958904109589</v>
      </c>
      <c r="J20" s="76">
        <f>12*H20</f>
        <v>30000</v>
      </c>
      <c r="K20" s="57">
        <f>(H19-E19)/E19</f>
        <v>0.48334094020994967</v>
      </c>
      <c r="M20" s="30" t="s">
        <v>70</v>
      </c>
      <c r="N20" s="73"/>
      <c r="O20" s="22"/>
      <c r="P20" s="22"/>
      <c r="Q20" s="70"/>
    </row>
    <row r="21" spans="1:14" ht="15.75">
      <c r="A21" s="28"/>
      <c r="B21" s="31" t="s">
        <v>37</v>
      </c>
      <c r="C21" s="31"/>
      <c r="D21" s="32">
        <v>153</v>
      </c>
      <c r="E21" s="33">
        <f>153*16.8/12</f>
        <v>214.20000000000002</v>
      </c>
      <c r="F21" s="34">
        <v>17.21</v>
      </c>
      <c r="G21" s="33">
        <f>153*16.8/12</f>
        <v>214.20000000000002</v>
      </c>
      <c r="H21" s="32">
        <v>700</v>
      </c>
      <c r="I21" s="34">
        <f aca="true" t="shared" si="0" ref="I21:I26">H21*12/D21</f>
        <v>54.90196078431372</v>
      </c>
      <c r="J21" s="35">
        <f>SUM(2*1.15*E21,9*H21)</f>
        <v>6792.66</v>
      </c>
      <c r="K21" s="57">
        <f>(H21-E21)/E21</f>
        <v>2.26797385620915</v>
      </c>
      <c r="M21" s="30" t="s">
        <v>110</v>
      </c>
      <c r="N21" s="30"/>
    </row>
    <row r="22" spans="1:17" ht="15.75">
      <c r="A22" s="28"/>
      <c r="B22" s="31" t="s">
        <v>38</v>
      </c>
      <c r="C22" s="31"/>
      <c r="D22" s="32">
        <v>863</v>
      </c>
      <c r="E22" s="33">
        <f>D22*9.52/12</f>
        <v>684.6466666666666</v>
      </c>
      <c r="F22" s="34">
        <f>685*12/1056</f>
        <v>7.784090909090909</v>
      </c>
      <c r="G22" s="33">
        <f>D22*9.52/12</f>
        <v>684.6466666666666</v>
      </c>
      <c r="H22" s="32">
        <v>2000</v>
      </c>
      <c r="I22" s="34">
        <f t="shared" si="0"/>
        <v>27.80996523754345</v>
      </c>
      <c r="J22" s="35">
        <f>12*H22</f>
        <v>24000</v>
      </c>
      <c r="K22" s="57">
        <f>(H22-E22)/E22</f>
        <v>1.9212148358764134</v>
      </c>
      <c r="M22" s="30" t="s">
        <v>82</v>
      </c>
      <c r="N22" s="74"/>
      <c r="O22" s="22"/>
      <c r="P22" s="22"/>
      <c r="Q22" s="70"/>
    </row>
    <row r="23" spans="1:13" ht="15.75">
      <c r="A23" s="28"/>
      <c r="B23" s="31" t="s">
        <v>90</v>
      </c>
      <c r="C23" s="31"/>
      <c r="D23" s="32">
        <v>173</v>
      </c>
      <c r="E23" s="33">
        <v>0</v>
      </c>
      <c r="F23" s="34">
        <v>17.21</v>
      </c>
      <c r="G23" s="33">
        <v>0</v>
      </c>
      <c r="H23" s="32">
        <v>0</v>
      </c>
      <c r="I23" s="34">
        <f t="shared" si="0"/>
        <v>0</v>
      </c>
      <c r="J23" s="35">
        <f>2*E23</f>
        <v>0</v>
      </c>
      <c r="K23" s="57" t="e">
        <f>(H23-E23)/E23</f>
        <v>#DIV/0!</v>
      </c>
      <c r="M23" s="30" t="s">
        <v>67</v>
      </c>
    </row>
    <row r="24" spans="1:13" ht="15.75">
      <c r="A24" s="28"/>
      <c r="B24" s="31" t="s">
        <v>89</v>
      </c>
      <c r="C24" s="31"/>
      <c r="D24" s="32">
        <v>68</v>
      </c>
      <c r="E24" s="33">
        <v>0</v>
      </c>
      <c r="F24" s="34">
        <f>F22</f>
        <v>7.784090909090909</v>
      </c>
      <c r="G24" s="33">
        <v>0</v>
      </c>
      <c r="H24" s="32">
        <v>0</v>
      </c>
      <c r="I24" s="34">
        <f t="shared" si="0"/>
        <v>0</v>
      </c>
      <c r="J24" s="35">
        <f>9*H24</f>
        <v>0</v>
      </c>
      <c r="K24" s="57" t="e">
        <f>(H24-E24)/E24</f>
        <v>#DIV/0!</v>
      </c>
      <c r="M24" s="30" t="s">
        <v>67</v>
      </c>
    </row>
    <row r="25" spans="1:13" ht="15.75">
      <c r="A25" s="28"/>
      <c r="B25" s="31" t="s">
        <v>88</v>
      </c>
      <c r="C25" s="31"/>
      <c r="D25" s="32">
        <v>126</v>
      </c>
      <c r="E25" s="33">
        <v>0</v>
      </c>
      <c r="F25" s="34"/>
      <c r="G25" s="33">
        <v>0</v>
      </c>
      <c r="H25" s="32">
        <v>0</v>
      </c>
      <c r="I25" s="34">
        <f t="shared" si="0"/>
        <v>0</v>
      </c>
      <c r="J25" s="35">
        <f>9*H25</f>
        <v>0</v>
      </c>
      <c r="K25" s="58" t="s">
        <v>56</v>
      </c>
      <c r="M25" s="30" t="s">
        <v>67</v>
      </c>
    </row>
    <row r="26" spans="1:22" ht="15.75">
      <c r="A26" s="28"/>
      <c r="B26" s="31" t="s">
        <v>87</v>
      </c>
      <c r="C26" s="31"/>
      <c r="D26" s="32">
        <v>77</v>
      </c>
      <c r="E26" s="33">
        <v>110</v>
      </c>
      <c r="F26" s="34">
        <f>F24</f>
        <v>7.784090909090909</v>
      </c>
      <c r="G26" s="33">
        <v>110</v>
      </c>
      <c r="H26" s="32">
        <v>0</v>
      </c>
      <c r="I26" s="34">
        <f t="shared" si="0"/>
        <v>0</v>
      </c>
      <c r="J26" s="35">
        <f>2*1.15*E26</f>
        <v>252.99999999999997</v>
      </c>
      <c r="K26" s="57">
        <f>(H26-E26)/E26</f>
        <v>-1</v>
      </c>
      <c r="M26" s="30" t="s">
        <v>67</v>
      </c>
      <c r="V26" s="35"/>
    </row>
    <row r="27" spans="1:13" ht="15.75">
      <c r="A27" s="28"/>
      <c r="B27" s="37" t="s">
        <v>30</v>
      </c>
      <c r="C27" s="28"/>
      <c r="D27" s="28"/>
      <c r="E27" s="38">
        <f>SUM(E19:E26)</f>
        <v>3304.4466666666667</v>
      </c>
      <c r="F27" s="28"/>
      <c r="G27" s="38">
        <f>SUM(G19:G26)</f>
        <v>3304.4466666666667</v>
      </c>
      <c r="H27" s="65">
        <f>SUM(H19:H26)</f>
        <v>7150</v>
      </c>
      <c r="I27" s="28"/>
      <c r="J27" s="44">
        <f>SUM(J19:J26)</f>
        <v>81619.24</v>
      </c>
      <c r="K27" s="30"/>
      <c r="M27" s="30"/>
    </row>
    <row r="28" spans="1:13" ht="15.75">
      <c r="A28" s="28"/>
      <c r="B28" s="31" t="s">
        <v>91</v>
      </c>
      <c r="C28" s="28"/>
      <c r="D28" s="28"/>
      <c r="E28" s="81">
        <v>0</v>
      </c>
      <c r="F28" s="28"/>
      <c r="G28" s="40">
        <v>-981</v>
      </c>
      <c r="H28" s="71">
        <f>-0.2*H27</f>
        <v>-1430</v>
      </c>
      <c r="I28" s="28"/>
      <c r="J28" s="35">
        <f>-0.2*J27</f>
        <v>-16323.848000000002</v>
      </c>
      <c r="K28" s="30"/>
      <c r="M28" s="77" t="s">
        <v>72</v>
      </c>
    </row>
    <row r="29" spans="1:13" ht="15.75">
      <c r="A29" s="37" t="s">
        <v>61</v>
      </c>
      <c r="C29" s="28"/>
      <c r="D29" s="28"/>
      <c r="E29" s="38">
        <f>SUM(E27:E28)</f>
        <v>3304.4466666666667</v>
      </c>
      <c r="F29" s="28"/>
      <c r="G29" s="38">
        <f>SUM(G27:G28)</f>
        <v>2323.4466666666667</v>
      </c>
      <c r="H29" s="65">
        <f>SUM(H27:H28)</f>
        <v>5720</v>
      </c>
      <c r="I29" s="28"/>
      <c r="J29" s="44">
        <f>SUM(J27:J28)</f>
        <v>65295.39200000001</v>
      </c>
      <c r="K29" s="30"/>
      <c r="M29" s="30"/>
    </row>
    <row r="30" spans="1:13" ht="15.75">
      <c r="A30" s="28"/>
      <c r="B30" s="31" t="s">
        <v>86</v>
      </c>
      <c r="C30" s="31"/>
      <c r="D30" s="32">
        <v>576</v>
      </c>
      <c r="E30" s="36">
        <v>0</v>
      </c>
      <c r="F30" s="28"/>
      <c r="G30" s="40">
        <v>50</v>
      </c>
      <c r="H30" s="32">
        <v>1000</v>
      </c>
      <c r="I30" s="34">
        <f>H30*12/D30</f>
        <v>20.833333333333332</v>
      </c>
      <c r="J30" s="35">
        <f>9*H30</f>
        <v>9000</v>
      </c>
      <c r="K30" s="57" t="e">
        <f>(H30-E30)/E30</f>
        <v>#DIV/0!</v>
      </c>
      <c r="M30" s="30" t="s">
        <v>83</v>
      </c>
    </row>
    <row r="31" spans="2:13" ht="15.75">
      <c r="B31" s="31" t="s">
        <v>62</v>
      </c>
      <c r="C31" s="28"/>
      <c r="D31" s="28"/>
      <c r="E31" s="45">
        <v>0</v>
      </c>
      <c r="F31" s="28"/>
      <c r="G31" s="40">
        <v>0</v>
      </c>
      <c r="H31" s="71">
        <v>750</v>
      </c>
      <c r="I31" s="28"/>
      <c r="J31" s="35">
        <f>12*H31</f>
        <v>9000</v>
      </c>
      <c r="K31" s="59" t="s">
        <v>56</v>
      </c>
      <c r="M31" s="30" t="s">
        <v>115</v>
      </c>
    </row>
    <row r="32" spans="1:13" ht="15.75">
      <c r="A32" s="43" t="s">
        <v>73</v>
      </c>
      <c r="B32" s="37"/>
      <c r="C32" s="43"/>
      <c r="D32" s="43"/>
      <c r="E32" s="78">
        <f>SUM(E29:E31)</f>
        <v>3304.4466666666667</v>
      </c>
      <c r="F32" s="43"/>
      <c r="G32" s="78">
        <f>SUM(G29:G31)</f>
        <v>2373.4466666666667</v>
      </c>
      <c r="H32" s="61">
        <f>SUM(H29:H31)</f>
        <v>7470</v>
      </c>
      <c r="I32" s="43"/>
      <c r="J32" s="44">
        <f>SUM(J29:J31)</f>
        <v>83295.392</v>
      </c>
      <c r="K32" s="30"/>
      <c r="M32" s="30"/>
    </row>
    <row r="33" spans="1:13" ht="15.75">
      <c r="A33" s="28"/>
      <c r="B33" s="37"/>
      <c r="C33" s="28"/>
      <c r="D33" s="28"/>
      <c r="E33" s="28"/>
      <c r="F33" s="28"/>
      <c r="G33" s="40"/>
      <c r="H33" s="32"/>
      <c r="I33" s="28"/>
      <c r="J33" s="35"/>
      <c r="K33" s="30"/>
      <c r="M33" s="30"/>
    </row>
    <row r="34" spans="1:13" ht="15.75">
      <c r="A34" s="37" t="s">
        <v>44</v>
      </c>
      <c r="B34" s="28"/>
      <c r="C34" s="28"/>
      <c r="D34" s="28"/>
      <c r="E34" s="28"/>
      <c r="F34" s="28"/>
      <c r="G34" s="40"/>
      <c r="H34" s="32" t="s">
        <v>27</v>
      </c>
      <c r="I34" s="28"/>
      <c r="J34" s="35"/>
      <c r="K34" s="30"/>
      <c r="M34" s="30"/>
    </row>
    <row r="35" spans="1:13" ht="15.75">
      <c r="A35" s="28"/>
      <c r="B35" s="31" t="s">
        <v>93</v>
      </c>
      <c r="C35" s="28"/>
      <c r="D35" s="28"/>
      <c r="E35" s="36">
        <f>7500/12</f>
        <v>625</v>
      </c>
      <c r="F35" s="40"/>
      <c r="G35" s="40">
        <v>408</v>
      </c>
      <c r="H35" s="32">
        <v>1250</v>
      </c>
      <c r="I35" s="28"/>
      <c r="J35" s="35">
        <f aca="true" t="shared" si="1" ref="J35:J45">12*H35</f>
        <v>15000</v>
      </c>
      <c r="K35" s="57">
        <f aca="true" t="shared" si="2" ref="K35:K43">(H35-E35)/E35</f>
        <v>1</v>
      </c>
      <c r="M35" s="30" t="s">
        <v>117</v>
      </c>
    </row>
    <row r="36" spans="1:13" ht="15.75">
      <c r="A36" s="28"/>
      <c r="B36" s="31" t="s">
        <v>42</v>
      </c>
      <c r="C36" s="28"/>
      <c r="D36" s="28"/>
      <c r="E36" s="36">
        <f>3000/12</f>
        <v>250</v>
      </c>
      <c r="F36" s="40"/>
      <c r="G36" s="40">
        <f>3164.7/5</f>
        <v>632.9399999999999</v>
      </c>
      <c r="H36" s="32">
        <v>250</v>
      </c>
      <c r="I36" s="28"/>
      <c r="J36" s="35">
        <f t="shared" si="1"/>
        <v>3000</v>
      </c>
      <c r="K36" s="57">
        <f t="shared" si="2"/>
        <v>0</v>
      </c>
      <c r="M36" s="30"/>
    </row>
    <row r="37" spans="1:13" ht="15.75">
      <c r="A37" s="28"/>
      <c r="B37" s="31" t="s">
        <v>43</v>
      </c>
      <c r="C37" s="28"/>
      <c r="D37" s="28"/>
      <c r="E37" s="36">
        <v>500</v>
      </c>
      <c r="F37" s="40"/>
      <c r="G37" s="40">
        <v>50</v>
      </c>
      <c r="H37" s="32">
        <f>50*14</f>
        <v>700</v>
      </c>
      <c r="I37" s="28"/>
      <c r="J37" s="35">
        <f t="shared" si="1"/>
        <v>8400</v>
      </c>
      <c r="K37" s="57">
        <f t="shared" si="2"/>
        <v>0.4</v>
      </c>
      <c r="M37" s="30" t="s">
        <v>125</v>
      </c>
    </row>
    <row r="38" spans="1:14" ht="15.75">
      <c r="A38" s="28"/>
      <c r="B38" s="31" t="s">
        <v>124</v>
      </c>
      <c r="C38" s="28"/>
      <c r="D38" s="28"/>
      <c r="E38" s="36">
        <f>1750/12</f>
        <v>145.83333333333334</v>
      </c>
      <c r="F38" s="40"/>
      <c r="G38" s="40">
        <v>120</v>
      </c>
      <c r="H38" s="32">
        <v>325</v>
      </c>
      <c r="I38" s="28"/>
      <c r="J38" s="35">
        <f t="shared" si="1"/>
        <v>3900</v>
      </c>
      <c r="K38" s="57">
        <f t="shared" si="2"/>
        <v>1.2285714285714284</v>
      </c>
      <c r="M38" s="30"/>
      <c r="N38" s="30"/>
    </row>
    <row r="39" spans="1:13" ht="15.75">
      <c r="A39" s="28"/>
      <c r="B39" s="31" t="s">
        <v>99</v>
      </c>
      <c r="C39" s="28"/>
      <c r="D39" s="28"/>
      <c r="E39" s="36">
        <f>6250/12</f>
        <v>520.8333333333334</v>
      </c>
      <c r="F39" s="28"/>
      <c r="G39" s="40">
        <f>8139/12</f>
        <v>678.25</v>
      </c>
      <c r="H39" s="32">
        <v>350</v>
      </c>
      <c r="I39" s="28"/>
      <c r="J39" s="35">
        <f t="shared" si="1"/>
        <v>4200</v>
      </c>
      <c r="K39" s="57">
        <f t="shared" si="2"/>
        <v>-0.32800000000000007</v>
      </c>
      <c r="M39" s="30" t="s">
        <v>108</v>
      </c>
    </row>
    <row r="40" spans="1:13" ht="15.75">
      <c r="A40" s="28"/>
      <c r="B40" s="31" t="s">
        <v>100</v>
      </c>
      <c r="C40" s="28"/>
      <c r="D40" s="28"/>
      <c r="E40" s="36">
        <f>4000/12</f>
        <v>333.3333333333333</v>
      </c>
      <c r="F40" s="28"/>
      <c r="G40" s="40">
        <f>2080/12</f>
        <v>173.33333333333334</v>
      </c>
      <c r="H40" s="32">
        <v>225</v>
      </c>
      <c r="I40" s="28"/>
      <c r="J40" s="35">
        <f t="shared" si="1"/>
        <v>2700</v>
      </c>
      <c r="K40" s="57">
        <f t="shared" si="2"/>
        <v>-0.32499999999999996</v>
      </c>
      <c r="M40" s="30" t="s">
        <v>109</v>
      </c>
    </row>
    <row r="41" spans="1:13" ht="15.75">
      <c r="A41" s="28"/>
      <c r="B41" s="31" t="s">
        <v>103</v>
      </c>
      <c r="C41" s="28"/>
      <c r="D41" s="28"/>
      <c r="E41" s="36">
        <f>1500/12</f>
        <v>125</v>
      </c>
      <c r="F41" s="28"/>
      <c r="G41" s="40">
        <f>653/5</f>
        <v>130.6</v>
      </c>
      <c r="H41" s="32">
        <v>150</v>
      </c>
      <c r="I41" s="28"/>
      <c r="J41" s="35">
        <f>12*H41</f>
        <v>1800</v>
      </c>
      <c r="K41" s="57"/>
      <c r="M41" s="30" t="s">
        <v>109</v>
      </c>
    </row>
    <row r="42" spans="1:13" ht="15.75">
      <c r="A42" s="28"/>
      <c r="B42" s="31" t="s">
        <v>114</v>
      </c>
      <c r="C42" s="28"/>
      <c r="D42" s="28"/>
      <c r="E42" s="36">
        <v>0</v>
      </c>
      <c r="F42" s="28"/>
      <c r="G42" s="40">
        <v>0</v>
      </c>
      <c r="H42" s="32">
        <v>250</v>
      </c>
      <c r="I42" s="28"/>
      <c r="J42" s="35">
        <f>12*H42</f>
        <v>3000</v>
      </c>
      <c r="K42" s="57"/>
      <c r="M42" s="30"/>
    </row>
    <row r="43" spans="1:13" ht="15.75">
      <c r="A43" s="28"/>
      <c r="B43" s="31" t="s">
        <v>63</v>
      </c>
      <c r="C43" s="28"/>
      <c r="D43" s="28"/>
      <c r="E43" s="33">
        <f>0.4*10311/12</f>
        <v>343.70000000000005</v>
      </c>
      <c r="F43" s="28"/>
      <c r="G43" s="40">
        <v>344</v>
      </c>
      <c r="H43" s="32">
        <f>0.4*11000/12</f>
        <v>366.6666666666667</v>
      </c>
      <c r="I43" s="28"/>
      <c r="J43" s="35">
        <f t="shared" si="1"/>
        <v>4400</v>
      </c>
      <c r="K43" s="57">
        <f t="shared" si="2"/>
        <v>0.06682184075259423</v>
      </c>
      <c r="M43" s="30" t="s">
        <v>81</v>
      </c>
    </row>
    <row r="44" spans="1:13" ht="15.75">
      <c r="A44" s="28"/>
      <c r="B44" s="31" t="s">
        <v>92</v>
      </c>
      <c r="C44" s="28"/>
      <c r="D44" s="28"/>
      <c r="E44" s="36">
        <v>0</v>
      </c>
      <c r="F44" s="28"/>
      <c r="G44" s="40">
        <v>0</v>
      </c>
      <c r="H44" s="32">
        <v>225</v>
      </c>
      <c r="I44" s="28"/>
      <c r="J44" s="35">
        <f t="shared" si="1"/>
        <v>2700</v>
      </c>
      <c r="K44" s="58" t="s">
        <v>56</v>
      </c>
      <c r="M44" s="30" t="s">
        <v>113</v>
      </c>
    </row>
    <row r="45" spans="1:13" ht="15.75">
      <c r="A45" s="28"/>
      <c r="B45" s="31" t="s">
        <v>31</v>
      </c>
      <c r="C45" s="28"/>
      <c r="D45" s="28"/>
      <c r="E45" s="36">
        <f>2700/12</f>
        <v>225</v>
      </c>
      <c r="F45" s="28"/>
      <c r="G45" s="40">
        <v>150</v>
      </c>
      <c r="H45" s="32">
        <v>225</v>
      </c>
      <c r="I45" s="28"/>
      <c r="J45" s="35">
        <f t="shared" si="1"/>
        <v>2700</v>
      </c>
      <c r="K45" s="57">
        <f>(H45-E45)/E45</f>
        <v>0</v>
      </c>
      <c r="M45" s="30"/>
    </row>
    <row r="46" spans="1:13" ht="15.75">
      <c r="A46" s="28"/>
      <c r="B46" s="31" t="s">
        <v>47</v>
      </c>
      <c r="C46" s="28"/>
      <c r="D46" s="28"/>
      <c r="E46" s="36">
        <v>0</v>
      </c>
      <c r="F46" s="28"/>
      <c r="G46" s="40">
        <v>0</v>
      </c>
      <c r="H46" s="32">
        <v>0</v>
      </c>
      <c r="I46" s="28"/>
      <c r="J46" s="32">
        <v>0</v>
      </c>
      <c r="K46" s="30"/>
      <c r="M46" s="30" t="s">
        <v>112</v>
      </c>
    </row>
    <row r="47" spans="1:13" ht="15.75">
      <c r="A47" s="37" t="s">
        <v>74</v>
      </c>
      <c r="C47" s="28"/>
      <c r="D47" s="28"/>
      <c r="E47" s="80">
        <f>SUM(E35:E46)</f>
        <v>3068.7</v>
      </c>
      <c r="F47" s="28"/>
      <c r="G47" s="83">
        <f>SUM(G35:G46)</f>
        <v>2687.1233333333334</v>
      </c>
      <c r="H47" s="39">
        <f>SUM(H35:H46)</f>
        <v>4316.666666666666</v>
      </c>
      <c r="I47" s="28"/>
      <c r="J47" s="44">
        <f>SUM(J35:J46)</f>
        <v>51800</v>
      </c>
      <c r="K47" s="30"/>
      <c r="M47" s="30"/>
    </row>
    <row r="48" spans="2:13" ht="15.75">
      <c r="B48" s="28" t="s">
        <v>106</v>
      </c>
      <c r="C48" s="28"/>
      <c r="D48" s="28"/>
      <c r="E48" s="47">
        <v>0</v>
      </c>
      <c r="F48" s="28"/>
      <c r="G48" s="40">
        <v>0</v>
      </c>
      <c r="H48" s="32">
        <f>0.12*SUM(H29:H30)</f>
        <v>806.4</v>
      </c>
      <c r="I48" s="28"/>
      <c r="J48" s="32">
        <f>0.12*SUM(J29:J30)</f>
        <v>8915.447040000001</v>
      </c>
      <c r="K48" s="59" t="s">
        <v>56</v>
      </c>
      <c r="M48" s="30" t="s">
        <v>107</v>
      </c>
    </row>
    <row r="49" spans="2:13" ht="15.75">
      <c r="B49" s="31" t="s">
        <v>59</v>
      </c>
      <c r="C49" s="28"/>
      <c r="D49" s="28"/>
      <c r="E49" s="47">
        <v>0</v>
      </c>
      <c r="F49" s="40"/>
      <c r="G49" s="40">
        <v>0</v>
      </c>
      <c r="H49" s="32">
        <f>80*15</f>
        <v>1200</v>
      </c>
      <c r="I49" s="28"/>
      <c r="J49" s="35">
        <f>12*H49</f>
        <v>14400</v>
      </c>
      <c r="K49" s="59" t="s">
        <v>32</v>
      </c>
      <c r="M49" s="30" t="s">
        <v>79</v>
      </c>
    </row>
    <row r="50" spans="2:13" ht="15.75">
      <c r="B50" s="31" t="s">
        <v>111</v>
      </c>
      <c r="C50" s="28"/>
      <c r="D50" s="28"/>
      <c r="E50" s="36">
        <f>750</f>
        <v>750</v>
      </c>
      <c r="F50" s="40"/>
      <c r="G50" s="40">
        <f>9000/12</f>
        <v>750</v>
      </c>
      <c r="H50" s="40">
        <f>9000/12</f>
        <v>750</v>
      </c>
      <c r="I50" s="28"/>
      <c r="J50" s="35">
        <f>H50*12</f>
        <v>9000</v>
      </c>
      <c r="K50" s="59"/>
      <c r="M50" s="30" t="s">
        <v>116</v>
      </c>
    </row>
    <row r="51" spans="1:14" ht="15.75">
      <c r="A51" s="56" t="s">
        <v>33</v>
      </c>
      <c r="B51" s="30"/>
      <c r="C51" s="30"/>
      <c r="D51" s="31"/>
      <c r="E51" s="38">
        <f>SUM(E47:E50)</f>
        <v>3818.7</v>
      </c>
      <c r="F51" s="37"/>
      <c r="G51" s="38">
        <f>SUM(G47:G50)</f>
        <v>3437.1233333333334</v>
      </c>
      <c r="H51" s="38">
        <f>SUM(H47:H50)</f>
        <v>7073.066666666666</v>
      </c>
      <c r="I51" s="43"/>
      <c r="J51" s="38">
        <f>SUM(J47:J50)</f>
        <v>84115.44704</v>
      </c>
      <c r="K51" s="30"/>
      <c r="L51" s="30"/>
      <c r="M51" s="30"/>
      <c r="N51" s="30"/>
    </row>
    <row r="52" spans="4:11" ht="15.75">
      <c r="D52" s="31"/>
      <c r="E52" s="31"/>
      <c r="F52" s="25"/>
      <c r="G52" s="25"/>
      <c r="H52" s="25"/>
      <c r="I52" s="22"/>
      <c r="K52" s="26"/>
    </row>
    <row r="53" spans="4:11" ht="15.75">
      <c r="D53" s="31"/>
      <c r="E53" s="31"/>
      <c r="F53" s="25"/>
      <c r="G53" s="25"/>
      <c r="H53" s="25"/>
      <c r="I53" s="22"/>
      <c r="K53" s="26"/>
    </row>
    <row r="54" spans="4:11" ht="15.75">
      <c r="D54" s="31"/>
      <c r="E54" s="31"/>
      <c r="F54" s="25"/>
      <c r="G54" s="25"/>
      <c r="H54" s="25"/>
      <c r="I54" s="22"/>
      <c r="K54" s="26"/>
    </row>
    <row r="55" spans="4:9" ht="15.75">
      <c r="D55" s="31"/>
      <c r="E55" s="31"/>
      <c r="F55" s="25"/>
      <c r="G55" s="25"/>
      <c r="H55" s="25"/>
      <c r="I55" s="22"/>
    </row>
    <row r="56" spans="4:9" ht="15.75">
      <c r="D56" s="31"/>
      <c r="E56" s="31"/>
      <c r="F56" s="25"/>
      <c r="G56" s="25"/>
      <c r="H56" s="25"/>
      <c r="I56" s="22"/>
    </row>
    <row r="57" spans="4:9" ht="15.75">
      <c r="D57" s="31"/>
      <c r="E57" s="31"/>
      <c r="F57" s="25"/>
      <c r="G57" s="25"/>
      <c r="H57" s="25"/>
      <c r="I57" s="22"/>
    </row>
    <row r="58" spans="4:9" ht="15.75">
      <c r="D58" s="31"/>
      <c r="E58" s="31"/>
      <c r="F58" s="25"/>
      <c r="G58" s="25"/>
      <c r="H58" s="25"/>
      <c r="I58" s="22"/>
    </row>
    <row r="59" spans="4:9" ht="15.75">
      <c r="D59" s="28"/>
      <c r="E59" s="28"/>
      <c r="F59" s="22"/>
      <c r="G59" s="22"/>
      <c r="H59" s="22"/>
      <c r="I59" s="22"/>
    </row>
    <row r="60" ht="15.75">
      <c r="B60" s="30"/>
    </row>
  </sheetData>
  <printOptions/>
  <pageMargins left="0.75" right="0.75" top="1" bottom="1" header="0.5" footer="0.5"/>
  <pageSetup fitToHeight="1" fitToWidth="1" horizontalDpi="600" verticalDpi="600" orientation="portrait" scale="77" r:id="rId1"/>
  <ignoredErrors>
    <ignoredError sqref="J23 J47 J20:J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SheetLayoutView="100" workbookViewId="0" topLeftCell="A1">
      <selection activeCell="F24" sqref="F24"/>
    </sheetView>
  </sheetViews>
  <sheetFormatPr defaultColWidth="9.16015625" defaultRowHeight="10.5"/>
  <cols>
    <col min="1" max="1" width="35.66015625" style="1" customWidth="1"/>
    <col min="2" max="2" width="13.5" style="2" customWidth="1"/>
    <col min="3" max="3" width="15.66015625" style="2" hidden="1" customWidth="1"/>
    <col min="4" max="4" width="17.66015625" style="2" customWidth="1"/>
    <col min="5" max="5" width="18" style="12" customWidth="1"/>
    <col min="6" max="6" width="69.16015625" style="15" customWidth="1"/>
    <col min="7" max="16384" width="9.16015625" style="3" customWidth="1"/>
  </cols>
  <sheetData>
    <row r="1" spans="1:6" ht="63">
      <c r="A1" s="4"/>
      <c r="B1" s="7" t="s">
        <v>21</v>
      </c>
      <c r="C1" s="7" t="s">
        <v>0</v>
      </c>
      <c r="D1" s="7" t="s">
        <v>26</v>
      </c>
      <c r="E1" s="18" t="s">
        <v>48</v>
      </c>
      <c r="F1" s="20" t="s">
        <v>1</v>
      </c>
    </row>
    <row r="2" ht="9" customHeight="1"/>
    <row r="3" spans="1:6" ht="15.75">
      <c r="A3" s="5" t="s">
        <v>6</v>
      </c>
      <c r="B3" s="6"/>
      <c r="C3" s="6"/>
      <c r="D3" s="6"/>
      <c r="E3" s="10"/>
      <c r="F3" s="14" t="s">
        <v>53</v>
      </c>
    </row>
    <row r="4" spans="1:6" ht="9" customHeight="1">
      <c r="A4" s="5"/>
      <c r="B4" s="6"/>
      <c r="C4" s="6"/>
      <c r="D4" s="6"/>
      <c r="E4" s="10"/>
      <c r="F4" s="14"/>
    </row>
    <row r="5" spans="1:6" ht="15.75">
      <c r="A5" s="5" t="s">
        <v>7</v>
      </c>
      <c r="B5" s="6"/>
      <c r="C5" s="6"/>
      <c r="D5" s="6"/>
      <c r="E5" s="10"/>
      <c r="F5" s="14"/>
    </row>
    <row r="6" spans="1:6" ht="15.75">
      <c r="A6" s="5" t="s">
        <v>8</v>
      </c>
      <c r="B6" s="6">
        <v>41520</v>
      </c>
      <c r="C6" s="6">
        <v>37852</v>
      </c>
      <c r="D6" s="6">
        <v>47688</v>
      </c>
      <c r="E6" s="10">
        <f>SUM('Quaker House'!J29,8000)</f>
        <v>73295.392</v>
      </c>
      <c r="F6" s="16" t="s">
        <v>166</v>
      </c>
    </row>
    <row r="7" spans="1:6" ht="15.75">
      <c r="A7" s="5" t="s">
        <v>9</v>
      </c>
      <c r="B7" s="8">
        <v>7000</v>
      </c>
      <c r="C7" s="8">
        <f>6959-398+1</f>
        <v>6562</v>
      </c>
      <c r="D7" s="51">
        <v>2960</v>
      </c>
      <c r="E7" s="52">
        <f>SUM(3000,12*750)</f>
        <v>12000</v>
      </c>
      <c r="F7" s="14" t="s">
        <v>165</v>
      </c>
    </row>
    <row r="8" spans="1:6" ht="18" customHeight="1">
      <c r="A8" s="5" t="s">
        <v>10</v>
      </c>
      <c r="B8" s="6">
        <f>SUM(B6:B7)</f>
        <v>48520</v>
      </c>
      <c r="C8" s="6">
        <f>SUM(C6:C7)</f>
        <v>44414</v>
      </c>
      <c r="D8" s="6">
        <f>SUM(D6:D7)</f>
        <v>50648</v>
      </c>
      <c r="E8" s="10">
        <f>SUM(E6:E7)</f>
        <v>85295.392</v>
      </c>
      <c r="F8" s="14"/>
    </row>
    <row r="9" spans="1:6" ht="9" customHeight="1">
      <c r="A9" s="5"/>
      <c r="B9" s="6"/>
      <c r="C9" s="6"/>
      <c r="D9" s="6"/>
      <c r="E9" s="10"/>
      <c r="F9" s="14"/>
    </row>
    <row r="10" spans="1:6" ht="16.5" thickBot="1">
      <c r="A10" s="17" t="s">
        <v>22</v>
      </c>
      <c r="B10" s="9"/>
      <c r="C10" s="9">
        <v>65676</v>
      </c>
      <c r="D10" s="49"/>
      <c r="E10" s="50">
        <f>'Quaker House'!J31</f>
        <v>9000</v>
      </c>
      <c r="F10" s="16" t="s">
        <v>128</v>
      </c>
    </row>
    <row r="11" spans="1:6" ht="16.5" thickTop="1">
      <c r="A11" s="5" t="s">
        <v>11</v>
      </c>
      <c r="B11" s="6">
        <f>SUM(B8:B10)</f>
        <v>48520</v>
      </c>
      <c r="C11" s="6" t="e">
        <f>+#REF!+#REF!+C8+#REF!+#REF!+C10</f>
        <v>#REF!</v>
      </c>
      <c r="D11" s="6">
        <f>SUM(D8:D10)</f>
        <v>50648</v>
      </c>
      <c r="E11" s="10">
        <f>SUM(E8:E10)</f>
        <v>94295.392</v>
      </c>
      <c r="F11" s="14"/>
    </row>
    <row r="12" spans="1:6" ht="15.75">
      <c r="A12" s="5" t="s">
        <v>12</v>
      </c>
      <c r="B12" s="6"/>
      <c r="C12" s="6"/>
      <c r="D12" s="6"/>
      <c r="E12" s="10"/>
      <c r="F12" s="14"/>
    </row>
    <row r="13" spans="1:6" ht="15.75">
      <c r="A13" s="5" t="s">
        <v>45</v>
      </c>
      <c r="B13" s="62" t="s">
        <v>32</v>
      </c>
      <c r="C13" s="62"/>
      <c r="D13" s="62" t="s">
        <v>32</v>
      </c>
      <c r="E13" s="10">
        <f>SUM('Quaker House'!J48:J49)</f>
        <v>23315.44704</v>
      </c>
      <c r="F13" s="14" t="s">
        <v>49</v>
      </c>
    </row>
    <row r="14" spans="1:6" ht="9" customHeight="1">
      <c r="A14" s="5"/>
      <c r="B14" s="6"/>
      <c r="C14" s="6"/>
      <c r="D14" s="6"/>
      <c r="E14" s="10"/>
      <c r="F14" s="14"/>
    </row>
    <row r="15" spans="1:6" ht="15.75">
      <c r="A15" s="5" t="s">
        <v>13</v>
      </c>
      <c r="B15" s="6"/>
      <c r="C15" s="6"/>
      <c r="D15" s="6"/>
      <c r="E15" s="10"/>
      <c r="F15" s="82"/>
    </row>
    <row r="16" spans="1:6" ht="15.75" customHeight="1">
      <c r="A16" s="17" t="s">
        <v>101</v>
      </c>
      <c r="B16" s="6">
        <v>11500</v>
      </c>
      <c r="C16" s="6">
        <v>27911</v>
      </c>
      <c r="D16" s="6">
        <v>12500</v>
      </c>
      <c r="E16" s="10">
        <f>SUM('Meeting House'!D15,'Quaker House'!J39)</f>
        <v>8200</v>
      </c>
      <c r="F16" s="16" t="s">
        <v>105</v>
      </c>
    </row>
    <row r="17" spans="1:6" ht="15.75">
      <c r="A17" s="17" t="s">
        <v>102</v>
      </c>
      <c r="B17" s="6">
        <v>13000</v>
      </c>
      <c r="C17" s="6"/>
      <c r="D17" s="6">
        <v>14000</v>
      </c>
      <c r="E17" s="10">
        <f>SUM('Meeting House'!D16,'Quaker House'!J40)</f>
        <v>10300</v>
      </c>
      <c r="F17" s="16" t="s">
        <v>118</v>
      </c>
    </row>
    <row r="18" spans="1:6" ht="15.75">
      <c r="A18" s="17" t="s">
        <v>104</v>
      </c>
      <c r="B18" s="6">
        <v>2500</v>
      </c>
      <c r="C18" s="6"/>
      <c r="D18" s="6">
        <v>2750</v>
      </c>
      <c r="E18" s="10">
        <v>3100</v>
      </c>
      <c r="F18" s="16"/>
    </row>
    <row r="19" spans="1:6" ht="17.25" customHeight="1">
      <c r="A19" s="11" t="s">
        <v>5</v>
      </c>
      <c r="B19" s="10">
        <f>20000+400+400</f>
        <v>20800</v>
      </c>
      <c r="C19" s="21">
        <f>19431+362-1</f>
        <v>19792</v>
      </c>
      <c r="D19" s="10">
        <f>20000-5000+250+250</f>
        <v>15500</v>
      </c>
      <c r="E19" s="10">
        <f>SUM('Meeting House'!D18,'Quaker House'!J35,'Quaker House'!J44)</f>
        <v>26700</v>
      </c>
      <c r="F19" s="16" t="s">
        <v>50</v>
      </c>
    </row>
    <row r="20" spans="1:6" ht="15.75" hidden="1">
      <c r="A20" s="11"/>
      <c r="B20" s="10"/>
      <c r="C20" s="10"/>
      <c r="D20" s="10"/>
      <c r="E20" s="10"/>
      <c r="F20" s="14"/>
    </row>
    <row r="21" spans="1:6" ht="15.75">
      <c r="A21" s="11" t="s">
        <v>19</v>
      </c>
      <c r="B21" s="10">
        <v>11000</v>
      </c>
      <c r="C21" s="10">
        <v>10861</v>
      </c>
      <c r="D21" s="10">
        <v>11000</v>
      </c>
      <c r="E21" s="10">
        <v>11000</v>
      </c>
      <c r="F21" s="16" t="s">
        <v>24</v>
      </c>
    </row>
    <row r="22" spans="1:6" ht="15.75">
      <c r="A22" s="19" t="s">
        <v>23</v>
      </c>
      <c r="B22" s="10">
        <f>11000+1500+3600</f>
        <v>16100</v>
      </c>
      <c r="C22" s="10">
        <v>15185</v>
      </c>
      <c r="D22" s="10">
        <f>12000+2250+3600</f>
        <v>17850</v>
      </c>
      <c r="E22" s="10">
        <f>SUM('Meeting House'!D20,'Quaker House'!J37,'Quaker House'!J45)</f>
        <v>22750</v>
      </c>
      <c r="F22" s="16" t="s">
        <v>46</v>
      </c>
    </row>
    <row r="23" spans="1:6" ht="15.75">
      <c r="A23" s="11" t="s">
        <v>2</v>
      </c>
      <c r="B23" s="8">
        <v>9750</v>
      </c>
      <c r="C23" s="8">
        <v>12795</v>
      </c>
      <c r="D23" s="51">
        <v>10311</v>
      </c>
      <c r="E23" s="52">
        <v>11000</v>
      </c>
      <c r="F23" s="16" t="s">
        <v>54</v>
      </c>
    </row>
    <row r="24" spans="1:6" ht="15.75">
      <c r="A24" s="5" t="s">
        <v>14</v>
      </c>
      <c r="B24" s="6">
        <f>SUM(B16:B23)</f>
        <v>84650</v>
      </c>
      <c r="C24" s="6">
        <f>SUM(C16:C23)</f>
        <v>86544</v>
      </c>
      <c r="D24" s="6">
        <f>SUM(D16:D23)</f>
        <v>83911</v>
      </c>
      <c r="E24" s="10">
        <f>SUM(E13:E23)</f>
        <v>116365.44704</v>
      </c>
      <c r="F24" s="14"/>
    </row>
    <row r="25" spans="1:6" ht="9" customHeight="1">
      <c r="A25" s="5"/>
      <c r="B25" s="6"/>
      <c r="C25" s="6"/>
      <c r="D25" s="6"/>
      <c r="E25" s="10"/>
      <c r="F25" s="14"/>
    </row>
    <row r="26" spans="1:6" ht="15.75">
      <c r="A26" s="5" t="s">
        <v>15</v>
      </c>
      <c r="B26" s="6"/>
      <c r="C26" s="6"/>
      <c r="D26" s="6"/>
      <c r="E26" s="10"/>
      <c r="F26" s="14"/>
    </row>
    <row r="27" spans="1:6" ht="15.75">
      <c r="A27" s="5" t="s">
        <v>98</v>
      </c>
      <c r="B27" s="6">
        <v>0</v>
      </c>
      <c r="C27" s="6"/>
      <c r="D27" s="6">
        <v>0</v>
      </c>
      <c r="E27" s="10">
        <v>3000</v>
      </c>
      <c r="F27" s="14"/>
    </row>
    <row r="28" spans="1:6" ht="15" customHeight="1">
      <c r="A28" s="17" t="s">
        <v>25</v>
      </c>
      <c r="B28" s="62" t="s">
        <v>32</v>
      </c>
      <c r="C28" s="62">
        <f>4137+1225</f>
        <v>5362</v>
      </c>
      <c r="D28" s="62" t="s">
        <v>32</v>
      </c>
      <c r="E28" s="10">
        <v>1750</v>
      </c>
      <c r="F28" s="16" t="s">
        <v>51</v>
      </c>
    </row>
    <row r="29" spans="1:6" ht="18.75" customHeight="1">
      <c r="A29" s="5" t="s">
        <v>20</v>
      </c>
      <c r="B29" s="63" t="s">
        <v>32</v>
      </c>
      <c r="C29" s="63">
        <v>11543</v>
      </c>
      <c r="D29" s="64" t="s">
        <v>32</v>
      </c>
      <c r="E29" s="52">
        <v>2000</v>
      </c>
      <c r="F29" s="16" t="s">
        <v>52</v>
      </c>
    </row>
    <row r="30" spans="1:6" ht="15.75">
      <c r="A30" s="5" t="s">
        <v>16</v>
      </c>
      <c r="B30" s="6">
        <f>SUM(B28:B29)</f>
        <v>0</v>
      </c>
      <c r="C30" s="6">
        <f>SUM(C28:C29)</f>
        <v>16905</v>
      </c>
      <c r="D30" s="6">
        <f>SUM(D28:D29)</f>
        <v>0</v>
      </c>
      <c r="E30" s="10">
        <f>SUM(E27:E29)</f>
        <v>6750</v>
      </c>
      <c r="F30" s="14"/>
    </row>
    <row r="31" spans="1:6" ht="9" customHeight="1">
      <c r="A31" s="5"/>
      <c r="B31" s="6"/>
      <c r="C31" s="6"/>
      <c r="D31" s="6"/>
      <c r="E31" s="10"/>
      <c r="F31" s="14"/>
    </row>
    <row r="32" ht="9" customHeight="1"/>
    <row r="33" spans="1:6" ht="15.75">
      <c r="A33" s="5" t="s">
        <v>17</v>
      </c>
      <c r="B33" s="8">
        <f>SUM(B24,B30)</f>
        <v>84650</v>
      </c>
      <c r="C33" s="8" t="e">
        <f>+#REF!+#REF!+#REF!+C24+C30+#REF!</f>
        <v>#REF!</v>
      </c>
      <c r="D33" s="51">
        <f>SUM(D24,D30)</f>
        <v>83911</v>
      </c>
      <c r="E33" s="52">
        <f>SUM(E24,E30)</f>
        <v>123115.44704</v>
      </c>
      <c r="F33" s="14"/>
    </row>
    <row r="34" spans="1:6" ht="9" customHeight="1">
      <c r="A34" s="5"/>
      <c r="B34" s="6"/>
      <c r="C34" s="6"/>
      <c r="D34" s="6"/>
      <c r="E34" s="10"/>
      <c r="F34" s="14"/>
    </row>
    <row r="35" spans="1:6" ht="15.75">
      <c r="A35" s="5" t="s">
        <v>18</v>
      </c>
      <c r="B35" s="6">
        <f>+B11-B33</f>
        <v>-36130</v>
      </c>
      <c r="C35" s="6" t="e">
        <f>+C11-C33</f>
        <v>#REF!</v>
      </c>
      <c r="D35" s="6">
        <f>+D11-D33</f>
        <v>-33263</v>
      </c>
      <c r="E35" s="10">
        <f>E11-E33</f>
        <v>-28820.055039999992</v>
      </c>
      <c r="F35" s="14"/>
    </row>
    <row r="36" spans="1:6" ht="9" customHeight="1">
      <c r="A36" s="5"/>
      <c r="B36" s="6"/>
      <c r="C36" s="6"/>
      <c r="D36" s="6"/>
      <c r="E36" s="10"/>
      <c r="F36" s="14"/>
    </row>
    <row r="37" spans="1:6" ht="15.75">
      <c r="A37" s="5" t="s">
        <v>3</v>
      </c>
      <c r="B37" s="8">
        <v>25000</v>
      </c>
      <c r="C37" s="8">
        <v>0</v>
      </c>
      <c r="D37" s="51">
        <v>20669</v>
      </c>
      <c r="E37" s="87" t="s">
        <v>32</v>
      </c>
      <c r="F37" s="14"/>
    </row>
    <row r="38" spans="1:6" ht="9" customHeight="1">
      <c r="A38" s="5"/>
      <c r="B38" s="10"/>
      <c r="C38" s="10"/>
      <c r="D38" s="10"/>
      <c r="E38" s="10"/>
      <c r="F38" s="14"/>
    </row>
    <row r="39" spans="1:6" ht="16.5" thickBot="1">
      <c r="A39" s="5" t="s">
        <v>4</v>
      </c>
      <c r="B39" s="13">
        <f>+B35-B37</f>
        <v>-61130</v>
      </c>
      <c r="C39" s="13" t="e">
        <f>+C35-C37</f>
        <v>#REF!</v>
      </c>
      <c r="D39" s="53">
        <f>+D35-D37</f>
        <v>-53932</v>
      </c>
      <c r="E39" s="54"/>
      <c r="F39" s="14"/>
    </row>
    <row r="40" spans="2:4" ht="15.75" thickTop="1">
      <c r="B40" s="12"/>
      <c r="C40" s="12"/>
      <c r="D40" s="12"/>
    </row>
    <row r="41" ht="15">
      <c r="E41" s="55"/>
    </row>
  </sheetData>
  <sheetProtection/>
  <printOptions/>
  <pageMargins left="0.93" right="0.7" top="1.01" bottom="0.53" header="0.3" footer="0.3"/>
  <pageSetup fitToHeight="1" fitToWidth="1" horizontalDpi="600" verticalDpi="600" orientation="landscape" scale="75" r:id="rId1"/>
  <headerFooter alignWithMargins="0">
    <oddHeader>&amp;C&amp;"Times New Roman,Bold"&amp;12Friends Meeting of Washington
 FY 11 Budget Preparation</oddHeader>
    <oddFooter>&amp;L* As Revised 1/09</oddFooter>
  </headerFooter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E Wilner</dc:creator>
  <cp:keywords/>
  <dc:description/>
  <cp:lastModifiedBy>Neil R. Froemming</cp:lastModifiedBy>
  <cp:lastPrinted>2010-02-17T13:55:20Z</cp:lastPrinted>
  <dcterms:created xsi:type="dcterms:W3CDTF">2009-03-03T21:29:28Z</dcterms:created>
  <dcterms:modified xsi:type="dcterms:W3CDTF">2010-06-09T02:52:38Z</dcterms:modified>
  <cp:category/>
  <cp:version/>
  <cp:contentType/>
  <cp:contentStatus/>
</cp:coreProperties>
</file>